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24226"/>
  <mc:AlternateContent xmlns:mc="http://schemas.openxmlformats.org/markup-compatibility/2006">
    <mc:Choice Requires="x15">
      <x15ac:absPath xmlns:x15ac="http://schemas.microsoft.com/office/spreadsheetml/2010/11/ac" url="D:\22-2賃金ソフト（保護あり）(Excel2010)2023.7.31\キャリアアップ助成金活用シミュレーションソフト\"/>
    </mc:Choice>
  </mc:AlternateContent>
  <xr:revisionPtr revIDLastSave="0" documentId="13_ncr:1_{F6D43407-C0F5-4C4A-8EF2-DA582A4916A9}" xr6:coauthVersionLast="47" xr6:coauthVersionMax="47" xr10:uidLastSave="{00000000-0000-0000-0000-000000000000}"/>
  <bookViews>
    <workbookView xWindow="-120" yWindow="-120" windowWidth="29040" windowHeight="15840" tabRatio="893" xr2:uid="{00000000-000D-0000-FFFF-FFFF00000000}"/>
  </bookViews>
  <sheets>
    <sheet name="メニューＭＡＰ＆操作手順" sheetId="94" r:id="rId1"/>
    <sheet name="1-1.従業員データ給与改定案入力画面" sheetId="100" r:id="rId2"/>
    <sheet name="2-2.保険料・地方税等入力画面" sheetId="17" r:id="rId3"/>
    <sheet name="４-0.設定 仕様概要" sheetId="95" r:id="rId4"/>
    <sheet name="4-1.手当等支給メニュー" sheetId="115" r:id="rId5"/>
    <sheet name="4-2.手当等支給メニューお知らせ！" sheetId="114" r:id="rId6"/>
    <sheet name="4-3.手当等支給メニュー (３年目or２年目)" sheetId="124" r:id="rId7"/>
    <sheet name="4-4.手当等支給メニューお知らせ！ (３年目or２年目)" sheetId="125" r:id="rId8"/>
    <sheet name="4-1.参照シートー１" sheetId="122" r:id="rId9"/>
    <sheet name="4-1.参照シートー２" sheetId="123" r:id="rId10"/>
    <sheet name="3-1.標準報酬月額・保険料表" sheetId="3" r:id="rId11"/>
    <sheet name="3-2.所得算出参照表" sheetId="30" r:id="rId12"/>
    <sheet name="５.使用上の注意" sheetId="20" r:id="rId13"/>
  </sheets>
  <definedNames>
    <definedName name="_xlnm.Print_Area" localSheetId="1">'1-1.従業員データ給与改定案入力画面'!$A$2:$AL$37</definedName>
    <definedName name="_xlnm.Print_Area" localSheetId="2">'2-2.保険料・地方税等入力画面'!$C$2:$Q$35</definedName>
    <definedName name="_xlnm.Print_Area" localSheetId="8">'4-1.参照シートー１'!$A$1:$W$44</definedName>
    <definedName name="_xlnm.Print_Area" localSheetId="9">'4-1.参照シートー２'!$A$1:$W$44</definedName>
    <definedName name="_xlnm.Print_Area" localSheetId="4">'4-1.手当等支給メニュー'!$A$1:$AY$44</definedName>
    <definedName name="_xlnm.Print_Area" localSheetId="5">'4-2.手当等支給メニューお知らせ！'!$B$3:$Q$25</definedName>
    <definedName name="_xlnm.Print_Area" localSheetId="6">'4-3.手当等支給メニュー (３年目or２年目)'!$A$1:$AR$44</definedName>
    <definedName name="_xlnm.Print_Area" localSheetId="7">'4-4.手当等支給メニューお知らせ！ (３年目or２年目)'!$B$3:$P$25</definedName>
    <definedName name="_xlnm.Print_Area" localSheetId="12">'５.使用上の注意'!$B$3:$J$25</definedName>
    <definedName name="_xlnm.Print_Area" localSheetId="0">'メニューＭＡＰ＆操作手順'!$B$1:$AD$249</definedName>
    <definedName name="_xlnm.Print_Titles" localSheetId="1">'1-1.従業員データ給与改定案入力画面'!$C:$C,'1-1.従業員データ給与改定案入力画面'!$8:$9</definedName>
    <definedName name="_xlnm.Print_Titles" localSheetId="8">'4-1.参照シートー１'!#REF!,'4-1.参照シートー１'!$14:$14</definedName>
    <definedName name="_xlnm.Print_Titles" localSheetId="9">'4-1.参照シートー２'!#REF!,'4-1.参照シートー２'!$14:$14</definedName>
    <definedName name="_xlnm.Print_Titles" localSheetId="4">'4-1.手当等支給メニュー'!#REF!,'4-1.手当等支給メニュー'!$14:$14</definedName>
    <definedName name="_xlnm.Print_Titles" localSheetId="5">'4-2.手当等支給メニューお知らせ！'!$B:$B,'4-2.手当等支給メニューお知らせ！'!$9:$9</definedName>
    <definedName name="_xlnm.Print_Titles" localSheetId="6">'4-3.手当等支給メニュー (３年目or２年目)'!$C:$C,'4-3.手当等支給メニュー (３年目or２年目)'!$14:$14</definedName>
    <definedName name="_xlnm.Print_Titles" localSheetId="7">'4-4.手当等支給メニューお知らせ！ (３年目or２年目)'!$B:$B,'4-4.手当等支給メニューお知らせ！ (３年目or２年目)'!$9:$9</definedName>
  </definedNames>
  <calcPr calcId="191029"/>
</workbook>
</file>

<file path=xl/calcChain.xml><?xml version="1.0" encoding="utf-8"?>
<calcChain xmlns="http://schemas.openxmlformats.org/spreadsheetml/2006/main">
  <c r="C13" i="124" l="1"/>
  <c r="D11" i="124"/>
  <c r="D10" i="124"/>
  <c r="D9" i="124"/>
  <c r="D8" i="124"/>
  <c r="D7" i="124"/>
  <c r="Y13" i="115"/>
  <c r="Z13" i="115"/>
  <c r="AE13" i="115"/>
  <c r="AK13" i="124"/>
  <c r="AC13" i="124"/>
  <c r="X13" i="124"/>
  <c r="S13" i="124"/>
  <c r="R13" i="124"/>
  <c r="Y11" i="124"/>
  <c r="O11" i="124"/>
  <c r="W13" i="124" s="1"/>
  <c r="O10" i="124"/>
  <c r="V13" i="124" s="1"/>
  <c r="X7" i="124"/>
  <c r="Y13" i="124" s="1"/>
  <c r="X6" i="124"/>
  <c r="W6" i="124"/>
  <c r="W7" i="124" s="1"/>
  <c r="U6" i="124"/>
  <c r="U7" i="124" s="1"/>
  <c r="T6" i="124"/>
  <c r="T7" i="124" s="1"/>
  <c r="J2" i="124"/>
  <c r="S18" i="125" s="1"/>
  <c r="AK24" i="124" l="1"/>
  <c r="D5" i="125"/>
  <c r="L6" i="124"/>
  <c r="AC25" i="124"/>
  <c r="M6" i="124"/>
  <c r="N39" i="124" s="1"/>
  <c r="O39" i="124" s="1"/>
  <c r="AK28" i="124"/>
  <c r="O9" i="124"/>
  <c r="U13" i="124" s="1"/>
  <c r="U44" i="124" s="1"/>
  <c r="AK16" i="124"/>
  <c r="AJ8" i="124"/>
  <c r="AO10" i="124" s="1"/>
  <c r="AC24" i="124"/>
  <c r="AC16" i="124"/>
  <c r="C6" i="124"/>
  <c r="F5" i="125" s="1"/>
  <c r="AC21" i="124"/>
  <c r="AK21" i="124"/>
  <c r="AC19" i="124"/>
  <c r="AK19" i="124"/>
  <c r="AC27" i="124"/>
  <c r="AK27" i="124"/>
  <c r="AC22" i="124"/>
  <c r="AK22" i="124"/>
  <c r="AC33" i="124"/>
  <c r="AC17" i="124"/>
  <c r="AK17" i="124"/>
  <c r="AK25" i="124"/>
  <c r="AK33" i="124"/>
  <c r="AC43" i="124"/>
  <c r="AC35" i="124"/>
  <c r="AC40" i="124"/>
  <c r="AC32" i="124"/>
  <c r="AC37" i="124"/>
  <c r="AC29" i="124"/>
  <c r="AC42" i="124"/>
  <c r="AC34" i="124"/>
  <c r="AC39" i="124"/>
  <c r="AC31" i="124"/>
  <c r="AC44" i="124"/>
  <c r="AC36" i="124"/>
  <c r="AC38" i="124"/>
  <c r="AC30" i="124"/>
  <c r="AC20" i="124"/>
  <c r="AK20" i="124"/>
  <c r="AC28" i="124"/>
  <c r="AK43" i="124"/>
  <c r="AK35" i="124"/>
  <c r="AK40" i="124"/>
  <c r="AK32" i="124"/>
  <c r="AK37" i="124"/>
  <c r="AK29" i="124"/>
  <c r="AK42" i="124"/>
  <c r="AK34" i="124"/>
  <c r="AK39" i="124"/>
  <c r="AK31" i="124"/>
  <c r="AK44" i="124"/>
  <c r="AK36" i="124"/>
  <c r="AK38" i="124"/>
  <c r="AK30" i="124"/>
  <c r="AC15" i="124"/>
  <c r="AK15" i="124"/>
  <c r="AC23" i="124"/>
  <c r="AK23" i="124"/>
  <c r="AC41" i="124"/>
  <c r="AC18" i="124"/>
  <c r="AK18" i="124"/>
  <c r="AC26" i="124"/>
  <c r="AK26" i="124"/>
  <c r="AK41" i="124"/>
  <c r="E4" i="123"/>
  <c r="M2" i="123"/>
  <c r="E11" i="123" l="1"/>
  <c r="U18" i="124"/>
  <c r="U42" i="124"/>
  <c r="W15" i="124"/>
  <c r="W40" i="124"/>
  <c r="Q13" i="124"/>
  <c r="U17" i="124"/>
  <c r="V28" i="124"/>
  <c r="W41" i="124"/>
  <c r="W19" i="124"/>
  <c r="U15" i="124"/>
  <c r="V42" i="124"/>
  <c r="W16" i="124"/>
  <c r="W22" i="124"/>
  <c r="W20" i="124"/>
  <c r="U37" i="124"/>
  <c r="V26" i="124"/>
  <c r="V20" i="124"/>
  <c r="V23" i="124"/>
  <c r="U43" i="124"/>
  <c r="V38" i="124"/>
  <c r="U28" i="124"/>
  <c r="U23" i="124"/>
  <c r="U26" i="124"/>
  <c r="V16" i="124"/>
  <c r="W24" i="124"/>
  <c r="W27" i="124"/>
  <c r="U19" i="124"/>
  <c r="U30" i="124"/>
  <c r="U21" i="124"/>
  <c r="W32" i="124"/>
  <c r="V24" i="124"/>
  <c r="W38" i="124"/>
  <c r="N36" i="124"/>
  <c r="O36" i="124" s="1"/>
  <c r="N29" i="124"/>
  <c r="O29" i="124" s="1"/>
  <c r="N31" i="124"/>
  <c r="O31" i="124" s="1"/>
  <c r="N25" i="124"/>
  <c r="O25" i="124" s="1"/>
  <c r="N37" i="124"/>
  <c r="O37" i="124" s="1"/>
  <c r="N16" i="124"/>
  <c r="O16" i="124" s="1"/>
  <c r="N15" i="124"/>
  <c r="O15" i="124" s="1"/>
  <c r="N41" i="124"/>
  <c r="O41" i="124" s="1"/>
  <c r="N22" i="124"/>
  <c r="O22" i="124" s="1"/>
  <c r="N27" i="124"/>
  <c r="O27" i="124" s="1"/>
  <c r="N33" i="124"/>
  <c r="O33" i="124" s="1"/>
  <c r="N26" i="124"/>
  <c r="O26" i="124" s="1"/>
  <c r="AM10" i="124"/>
  <c r="N20" i="124"/>
  <c r="O20" i="124" s="1"/>
  <c r="AL7" i="124"/>
  <c r="N35" i="124"/>
  <c r="O35" i="124" s="1"/>
  <c r="U16" i="124"/>
  <c r="W29" i="124"/>
  <c r="V33" i="124"/>
  <c r="V21" i="124"/>
  <c r="U34" i="124"/>
  <c r="V32" i="124"/>
  <c r="U24" i="124"/>
  <c r="W33" i="124"/>
  <c r="W35" i="124"/>
  <c r="W43" i="124"/>
  <c r="V31" i="124"/>
  <c r="U29" i="124"/>
  <c r="W34" i="124"/>
  <c r="W37" i="124"/>
  <c r="U31" i="124"/>
  <c r="V34" i="124"/>
  <c r="U40" i="124"/>
  <c r="V30" i="124"/>
  <c r="U36" i="124"/>
  <c r="N32" i="124"/>
  <c r="O32" i="124" s="1"/>
  <c r="N18" i="124"/>
  <c r="O18" i="124" s="1"/>
  <c r="AM7" i="124"/>
  <c r="AL10" i="124"/>
  <c r="N19" i="124"/>
  <c r="O19" i="124" s="1"/>
  <c r="N40" i="124"/>
  <c r="O40" i="124" s="1"/>
  <c r="V27" i="124"/>
  <c r="V25" i="124"/>
  <c r="W25" i="124"/>
  <c r="V18" i="124"/>
  <c r="W44" i="124"/>
  <c r="W26" i="124"/>
  <c r="W21" i="124"/>
  <c r="V44" i="124"/>
  <c r="W39" i="124"/>
  <c r="V37" i="124"/>
  <c r="U35" i="124"/>
  <c r="V43" i="124"/>
  <c r="U41" i="124"/>
  <c r="N21" i="124"/>
  <c r="O21" i="124" s="1"/>
  <c r="N44" i="124"/>
  <c r="O44" i="124" s="1"/>
  <c r="AN10" i="124"/>
  <c r="AN13" i="124" s="1"/>
  <c r="N23" i="124"/>
  <c r="O23" i="124" s="1"/>
  <c r="N28" i="124"/>
  <c r="O28" i="124" s="1"/>
  <c r="N34" i="124"/>
  <c r="O34" i="124" s="1"/>
  <c r="N30" i="124"/>
  <c r="O30" i="124" s="1"/>
  <c r="V19" i="124"/>
  <c r="V17" i="124"/>
  <c r="W36" i="124"/>
  <c r="W17" i="124"/>
  <c r="V22" i="124"/>
  <c r="W23" i="124"/>
  <c r="W18" i="124"/>
  <c r="U25" i="124"/>
  <c r="U27" i="124"/>
  <c r="V36" i="124"/>
  <c r="W31" i="124"/>
  <c r="V29" i="124"/>
  <c r="W42" i="124"/>
  <c r="V35" i="124"/>
  <c r="U33" i="124"/>
  <c r="V41" i="124"/>
  <c r="N24" i="124"/>
  <c r="O24" i="124" s="1"/>
  <c r="N43" i="124"/>
  <c r="O43" i="124" s="1"/>
  <c r="N17" i="124"/>
  <c r="O17" i="124" s="1"/>
  <c r="N42" i="124"/>
  <c r="O42" i="124" s="1"/>
  <c r="N38" i="124"/>
  <c r="O38" i="124" s="1"/>
  <c r="U22" i="124"/>
  <c r="U20" i="124"/>
  <c r="V39" i="124"/>
  <c r="V15" i="124"/>
  <c r="W28" i="124"/>
  <c r="U39" i="124"/>
  <c r="U32" i="124"/>
  <c r="V40" i="124"/>
  <c r="U38" i="124"/>
  <c r="W30" i="124"/>
  <c r="O6" i="123"/>
  <c r="C13" i="123"/>
  <c r="E7" i="123"/>
  <c r="P6" i="123"/>
  <c r="U35" i="123" s="1"/>
  <c r="V35" i="123" s="1"/>
  <c r="E8" i="123"/>
  <c r="C6" i="123"/>
  <c r="E10" i="123"/>
  <c r="E9" i="123"/>
  <c r="X23" i="124" l="1"/>
  <c r="X39" i="124"/>
  <c r="X26" i="124"/>
  <c r="X42" i="124"/>
  <c r="X15" i="124"/>
  <c r="X38" i="124"/>
  <c r="X28" i="124"/>
  <c r="X16" i="124"/>
  <c r="X20" i="124"/>
  <c r="X19" i="124"/>
  <c r="X24" i="124"/>
  <c r="AM13" i="124"/>
  <c r="AO13" i="124"/>
  <c r="X40" i="124"/>
  <c r="X43" i="124"/>
  <c r="X21" i="124"/>
  <c r="X32" i="124"/>
  <c r="X37" i="124"/>
  <c r="X33" i="124"/>
  <c r="X34" i="124"/>
  <c r="X41" i="124"/>
  <c r="X29" i="124"/>
  <c r="X31" i="124"/>
  <c r="X30" i="124"/>
  <c r="X36" i="124"/>
  <c r="X25" i="124"/>
  <c r="X17" i="124"/>
  <c r="X22" i="124"/>
  <c r="X18" i="124"/>
  <c r="X35" i="124"/>
  <c r="X27" i="124"/>
  <c r="X44" i="124"/>
  <c r="I15" i="123"/>
  <c r="U25" i="123"/>
  <c r="V25" i="123" s="1"/>
  <c r="U36" i="123"/>
  <c r="V36" i="123" s="1"/>
  <c r="U27" i="123"/>
  <c r="V27" i="123" s="1"/>
  <c r="U42" i="123"/>
  <c r="V42" i="123" s="1"/>
  <c r="U28" i="123"/>
  <c r="V28" i="123" s="1"/>
  <c r="U39" i="123"/>
  <c r="V39" i="123" s="1"/>
  <c r="U18" i="123"/>
  <c r="V18" i="123" s="1"/>
  <c r="U26" i="123"/>
  <c r="V26" i="123" s="1"/>
  <c r="U40" i="123"/>
  <c r="V40" i="123" s="1"/>
  <c r="U43" i="123"/>
  <c r="V43" i="123" s="1"/>
  <c r="U21" i="123"/>
  <c r="V21" i="123" s="1"/>
  <c r="U32" i="123"/>
  <c r="V32" i="123" s="1"/>
  <c r="U41" i="123"/>
  <c r="V41" i="123" s="1"/>
  <c r="U20" i="123"/>
  <c r="V20" i="123" s="1"/>
  <c r="U24" i="123"/>
  <c r="V24" i="123" s="1"/>
  <c r="U34" i="123"/>
  <c r="V34" i="123" s="1"/>
  <c r="U15" i="123"/>
  <c r="V15" i="123" s="1"/>
  <c r="U23" i="123"/>
  <c r="V23" i="123" s="1"/>
  <c r="U22" i="123"/>
  <c r="V22" i="123" s="1"/>
  <c r="U31" i="123"/>
  <c r="V31" i="123" s="1"/>
  <c r="U29" i="123"/>
  <c r="V29" i="123" s="1"/>
  <c r="U30" i="123"/>
  <c r="V30" i="123" s="1"/>
  <c r="U33" i="123"/>
  <c r="V33" i="123" s="1"/>
  <c r="U19" i="123"/>
  <c r="V19" i="123" s="1"/>
  <c r="U17" i="123"/>
  <c r="V17" i="123" s="1"/>
  <c r="U38" i="123"/>
  <c r="V38" i="123" s="1"/>
  <c r="U16" i="123"/>
  <c r="V16" i="123" s="1"/>
  <c r="U44" i="123"/>
  <c r="V44" i="123" s="1"/>
  <c r="U37" i="123"/>
  <c r="V37" i="123" s="1"/>
  <c r="C15" i="123"/>
  <c r="H16" i="123" l="1"/>
  <c r="C16" i="123" s="1"/>
  <c r="J15" i="123"/>
  <c r="K15" i="123" s="1"/>
  <c r="W15" i="123" s="1"/>
  <c r="I16" i="123" l="1"/>
  <c r="D15" i="123"/>
  <c r="H17" i="123" l="1"/>
  <c r="C17" i="123" s="1"/>
  <c r="J16" i="123"/>
  <c r="K16" i="123" s="1"/>
  <c r="W16" i="123" s="1"/>
  <c r="D16" i="123" l="1"/>
  <c r="I17" i="123"/>
  <c r="H18" i="123" s="1"/>
  <c r="J17" i="123" l="1"/>
  <c r="K17" i="123" s="1"/>
  <c r="D17" i="123" s="1"/>
  <c r="C18" i="123"/>
  <c r="I18" i="123"/>
  <c r="W17" i="123" l="1"/>
  <c r="H19" i="123"/>
  <c r="J18" i="123"/>
  <c r="K18" i="123" s="1"/>
  <c r="I19" i="123" l="1"/>
  <c r="C19" i="123"/>
  <c r="W18" i="123"/>
  <c r="D18" i="123"/>
  <c r="H20" i="123" l="1"/>
  <c r="J19" i="123"/>
  <c r="K19" i="123" s="1"/>
  <c r="C20" i="123" l="1"/>
  <c r="I20" i="123"/>
  <c r="W19" i="123"/>
  <c r="D19" i="123"/>
  <c r="H21" i="123" l="1"/>
  <c r="J20" i="123"/>
  <c r="K20" i="123" s="1"/>
  <c r="I21" i="123" l="1"/>
  <c r="C21" i="123"/>
  <c r="D20" i="123"/>
  <c r="W20" i="123"/>
  <c r="H22" i="123" l="1"/>
  <c r="J21" i="123"/>
  <c r="K21" i="123" s="1"/>
  <c r="C22" i="123" l="1"/>
  <c r="I22" i="123"/>
  <c r="W21" i="123"/>
  <c r="D21" i="123"/>
  <c r="H23" i="123" l="1"/>
  <c r="J22" i="123"/>
  <c r="K22" i="123" s="1"/>
  <c r="C23" i="123" l="1"/>
  <c r="I23" i="123"/>
  <c r="W22" i="123"/>
  <c r="D22" i="123"/>
  <c r="H24" i="123" l="1"/>
  <c r="J23" i="123"/>
  <c r="K23" i="123" s="1"/>
  <c r="C24" i="123" l="1"/>
  <c r="I24" i="123"/>
  <c r="D23" i="123"/>
  <c r="W23" i="123"/>
  <c r="H25" i="123" l="1"/>
  <c r="J24" i="123"/>
  <c r="K24" i="123" s="1"/>
  <c r="I25" i="123" l="1"/>
  <c r="C25" i="123"/>
  <c r="D24" i="123"/>
  <c r="W24" i="123"/>
  <c r="H26" i="123" l="1"/>
  <c r="J25" i="123"/>
  <c r="K25" i="123" s="1"/>
  <c r="C26" i="123" l="1"/>
  <c r="I26" i="123"/>
  <c r="W25" i="123"/>
  <c r="D25" i="123"/>
  <c r="H27" i="123" l="1"/>
  <c r="J26" i="123"/>
  <c r="K26" i="123" s="1"/>
  <c r="C27" i="123" l="1"/>
  <c r="I27" i="123"/>
  <c r="W26" i="123"/>
  <c r="D26" i="123"/>
  <c r="H28" i="123" l="1"/>
  <c r="J27" i="123"/>
  <c r="K27" i="123" s="1"/>
  <c r="D27" i="123" l="1"/>
  <c r="W27" i="123"/>
  <c r="C28" i="123"/>
  <c r="I28" i="123"/>
  <c r="H29" i="123" l="1"/>
  <c r="J28" i="123"/>
  <c r="K28" i="123" s="1"/>
  <c r="I29" i="123" l="1"/>
  <c r="C29" i="123"/>
  <c r="D28" i="123"/>
  <c r="W28" i="123"/>
  <c r="H30" i="123" l="1"/>
  <c r="J29" i="123"/>
  <c r="K29" i="123" s="1"/>
  <c r="I30" i="123" l="1"/>
  <c r="C30" i="123"/>
  <c r="W29" i="123"/>
  <c r="D29" i="123"/>
  <c r="H31" i="123" l="1"/>
  <c r="J30" i="123"/>
  <c r="K30" i="123" s="1"/>
  <c r="C31" i="123" l="1"/>
  <c r="I31" i="123"/>
  <c r="W30" i="123"/>
  <c r="D30" i="123"/>
  <c r="H32" i="123" l="1"/>
  <c r="J31" i="123"/>
  <c r="K31" i="123" s="1"/>
  <c r="W31" i="123" l="1"/>
  <c r="D31" i="123"/>
  <c r="C32" i="123"/>
  <c r="I32" i="123"/>
  <c r="H33" i="123" l="1"/>
  <c r="J32" i="123"/>
  <c r="K32" i="123" s="1"/>
  <c r="D32" i="123" l="1"/>
  <c r="W32" i="123"/>
  <c r="I33" i="123"/>
  <c r="C33" i="123"/>
  <c r="H34" i="123" l="1"/>
  <c r="J33" i="123"/>
  <c r="K33" i="123" s="1"/>
  <c r="C34" i="123" l="1"/>
  <c r="I34" i="123"/>
  <c r="W33" i="123"/>
  <c r="D33" i="123"/>
  <c r="H35" i="123" l="1"/>
  <c r="J34" i="123"/>
  <c r="K34" i="123" s="1"/>
  <c r="C35" i="123" l="1"/>
  <c r="I35" i="123"/>
  <c r="W34" i="123"/>
  <c r="D34" i="123"/>
  <c r="H36" i="123" l="1"/>
  <c r="J35" i="123"/>
  <c r="K35" i="123" s="1"/>
  <c r="C36" i="123" l="1"/>
  <c r="I36" i="123"/>
  <c r="D35" i="123"/>
  <c r="W35" i="123"/>
  <c r="H37" i="123" l="1"/>
  <c r="J36" i="123"/>
  <c r="K36" i="123" s="1"/>
  <c r="D36" i="123" l="1"/>
  <c r="W36" i="123"/>
  <c r="I37" i="123"/>
  <c r="C37" i="123"/>
  <c r="H38" i="123" l="1"/>
  <c r="J37" i="123"/>
  <c r="K37" i="123" s="1"/>
  <c r="C38" i="123" l="1"/>
  <c r="I38" i="123"/>
  <c r="W37" i="123"/>
  <c r="D37" i="123"/>
  <c r="H39" i="123" l="1"/>
  <c r="J38" i="123"/>
  <c r="K38" i="123" s="1"/>
  <c r="W38" i="123" l="1"/>
  <c r="D38" i="123"/>
  <c r="C39" i="123"/>
  <c r="I39" i="123"/>
  <c r="H40" i="123" l="1"/>
  <c r="J39" i="123"/>
  <c r="K39" i="123" s="1"/>
  <c r="C40" i="123" l="1"/>
  <c r="I40" i="123"/>
  <c r="D39" i="123"/>
  <c r="S39" i="123"/>
  <c r="T39" i="123" s="1"/>
  <c r="O39" i="123"/>
  <c r="P39" i="123" s="1"/>
  <c r="W39" i="123"/>
  <c r="H41" i="123" l="1"/>
  <c r="J40" i="123"/>
  <c r="K40" i="123" s="1"/>
  <c r="I41" i="123" l="1"/>
  <c r="C41" i="123"/>
  <c r="D40" i="123"/>
  <c r="S40" i="123"/>
  <c r="T40" i="123" s="1"/>
  <c r="W40" i="123"/>
  <c r="O40" i="123"/>
  <c r="P40" i="123" s="1"/>
  <c r="H42" i="123" l="1"/>
  <c r="J41" i="123"/>
  <c r="K41" i="123" s="1"/>
  <c r="C42" i="123" l="1"/>
  <c r="I42" i="123"/>
  <c r="W41" i="123"/>
  <c r="O41" i="123"/>
  <c r="P41" i="123" s="1"/>
  <c r="D41" i="123"/>
  <c r="S41" i="123"/>
  <c r="T41" i="123" s="1"/>
  <c r="H43" i="123" l="1"/>
  <c r="J42" i="123"/>
  <c r="K42" i="123" s="1"/>
  <c r="C43" i="123" l="1"/>
  <c r="I43" i="123"/>
  <c r="W42" i="123"/>
  <c r="O42" i="123"/>
  <c r="P42" i="123" s="1"/>
  <c r="D42" i="123"/>
  <c r="S42" i="123"/>
  <c r="T42" i="123" s="1"/>
  <c r="H44" i="123" l="1"/>
  <c r="J43" i="123"/>
  <c r="K43" i="123" s="1"/>
  <c r="C44" i="123" l="1"/>
  <c r="I44" i="123"/>
  <c r="D43" i="123"/>
  <c r="S43" i="123"/>
  <c r="T43" i="123" s="1"/>
  <c r="W43" i="123"/>
  <c r="O43" i="123"/>
  <c r="P43" i="123" s="1"/>
  <c r="J44" i="123" l="1"/>
  <c r="K44" i="123" s="1"/>
  <c r="D44" i="123" l="1"/>
  <c r="S44" i="123"/>
  <c r="T44" i="123" s="1"/>
  <c r="W44" i="123"/>
  <c r="O44" i="123"/>
  <c r="P44" i="123" s="1"/>
  <c r="E4" i="122" l="1"/>
  <c r="M2" i="122"/>
  <c r="E8" i="115"/>
  <c r="K2" i="115"/>
  <c r="U9" i="115" s="1"/>
  <c r="U9" i="123" l="1"/>
  <c r="AB13" i="115"/>
  <c r="D7" i="125"/>
  <c r="E11" i="122"/>
  <c r="U9" i="122"/>
  <c r="O6" i="122"/>
  <c r="P6" i="122"/>
  <c r="U17" i="122" s="1"/>
  <c r="V17" i="122" s="1"/>
  <c r="E8" i="122"/>
  <c r="C13" i="122"/>
  <c r="C6" i="122"/>
  <c r="E9" i="122"/>
  <c r="E10" i="122"/>
  <c r="E7" i="122"/>
  <c r="U36" i="122" l="1"/>
  <c r="V36" i="122" s="1"/>
  <c r="U32" i="122"/>
  <c r="V32" i="122" s="1"/>
  <c r="U22" i="122"/>
  <c r="V22" i="122" s="1"/>
  <c r="U33" i="122"/>
  <c r="V33" i="122" s="1"/>
  <c r="U41" i="122"/>
  <c r="V41" i="122" s="1"/>
  <c r="U18" i="122"/>
  <c r="V18" i="122" s="1"/>
  <c r="U42" i="122"/>
  <c r="V42" i="122" s="1"/>
  <c r="U29" i="122"/>
  <c r="V29" i="122" s="1"/>
  <c r="U39" i="122"/>
  <c r="V39" i="122" s="1"/>
  <c r="U40" i="122"/>
  <c r="V40" i="122" s="1"/>
  <c r="U26" i="122"/>
  <c r="V26" i="122" s="1"/>
  <c r="U20" i="122"/>
  <c r="V20" i="122" s="1"/>
  <c r="U27" i="122"/>
  <c r="V27" i="122" s="1"/>
  <c r="U21" i="122"/>
  <c r="V21" i="122" s="1"/>
  <c r="U31" i="122"/>
  <c r="V31" i="122" s="1"/>
  <c r="U23" i="122"/>
  <c r="V23" i="122" s="1"/>
  <c r="U28" i="122"/>
  <c r="V28" i="122" s="1"/>
  <c r="U37" i="122"/>
  <c r="V37" i="122" s="1"/>
  <c r="U16" i="122"/>
  <c r="V16" i="122" s="1"/>
  <c r="U30" i="122"/>
  <c r="V30" i="122" s="1"/>
  <c r="U34" i="122"/>
  <c r="V34" i="122" s="1"/>
  <c r="C15" i="122"/>
  <c r="I15" i="122"/>
  <c r="U25" i="122"/>
  <c r="V25" i="122" s="1"/>
  <c r="U44" i="122"/>
  <c r="V44" i="122" s="1"/>
  <c r="U38" i="122"/>
  <c r="V38" i="122" s="1"/>
  <c r="U24" i="122"/>
  <c r="V24" i="122" s="1"/>
  <c r="U35" i="122"/>
  <c r="V35" i="122" s="1"/>
  <c r="U19" i="122"/>
  <c r="V19" i="122" s="1"/>
  <c r="U43" i="122"/>
  <c r="V43" i="122" s="1"/>
  <c r="U15" i="122"/>
  <c r="V15" i="122" s="1"/>
  <c r="D5" i="114"/>
  <c r="U10" i="115"/>
  <c r="AC13" i="115" s="1"/>
  <c r="U11" i="115"/>
  <c r="AD13" i="115" s="1"/>
  <c r="J15" i="122" l="1"/>
  <c r="K15" i="122" s="1"/>
  <c r="D15" i="122" s="1"/>
  <c r="H16" i="122"/>
  <c r="I16" i="122" s="1"/>
  <c r="U10" i="122"/>
  <c r="U10" i="123"/>
  <c r="U11" i="122"/>
  <c r="U11" i="123"/>
  <c r="W15" i="122" l="1"/>
  <c r="C16" i="122"/>
  <c r="H17" i="122"/>
  <c r="J16" i="122"/>
  <c r="C13" i="115"/>
  <c r="AR13" i="115"/>
  <c r="AJ13" i="115"/>
  <c r="AF11" i="115"/>
  <c r="E11" i="115"/>
  <c r="E9" i="115"/>
  <c r="AQ8" i="115"/>
  <c r="AV10" i="115" s="1"/>
  <c r="D7" i="114"/>
  <c r="AE7" i="115"/>
  <c r="AF13" i="115" s="1"/>
  <c r="E7" i="115"/>
  <c r="I15" i="115" s="1"/>
  <c r="AE6" i="115"/>
  <c r="AD6" i="115"/>
  <c r="AD7" i="115" s="1"/>
  <c r="AB6" i="115"/>
  <c r="AB7" i="115" s="1"/>
  <c r="AA6" i="115"/>
  <c r="AA7" i="115" s="1"/>
  <c r="C6" i="115"/>
  <c r="F5" i="114" s="1"/>
  <c r="AR42" i="115" l="1"/>
  <c r="AR38" i="115"/>
  <c r="AR34" i="115"/>
  <c r="AR30" i="115"/>
  <c r="AR26" i="115"/>
  <c r="AR22" i="115"/>
  <c r="AR18" i="115"/>
  <c r="AR39" i="115"/>
  <c r="AR35" i="115"/>
  <c r="AR41" i="115"/>
  <c r="AR37" i="115"/>
  <c r="AR33" i="115"/>
  <c r="AR29" i="115"/>
  <c r="AR25" i="115"/>
  <c r="AR21" i="115"/>
  <c r="AR17" i="115"/>
  <c r="AR27" i="115"/>
  <c r="AR43" i="115"/>
  <c r="AR19" i="115"/>
  <c r="AR44" i="115"/>
  <c r="AR40" i="115"/>
  <c r="AR36" i="115"/>
  <c r="AR32" i="115"/>
  <c r="AR28" i="115"/>
  <c r="AR24" i="115"/>
  <c r="AR20" i="115"/>
  <c r="AR16" i="115"/>
  <c r="AR23" i="115"/>
  <c r="AR31" i="115"/>
  <c r="AJ21" i="115"/>
  <c r="AJ24" i="115"/>
  <c r="AJ42" i="115"/>
  <c r="AJ38" i="115"/>
  <c r="AJ34" i="115"/>
  <c r="AJ30" i="115"/>
  <c r="AJ26" i="115"/>
  <c r="AJ22" i="115"/>
  <c r="AJ18" i="115"/>
  <c r="AJ17" i="115"/>
  <c r="AJ28" i="115"/>
  <c r="AJ44" i="115"/>
  <c r="AJ41" i="115"/>
  <c r="AJ37" i="115"/>
  <c r="AJ33" i="115"/>
  <c r="AJ29" i="115"/>
  <c r="AJ25" i="115"/>
  <c r="AJ32" i="115"/>
  <c r="AJ36" i="115"/>
  <c r="AJ20" i="115"/>
  <c r="AJ40" i="115"/>
  <c r="AJ16" i="115"/>
  <c r="AJ43" i="115"/>
  <c r="AJ39" i="115"/>
  <c r="AJ35" i="115"/>
  <c r="AJ31" i="115"/>
  <c r="AJ27" i="115"/>
  <c r="AJ23" i="115"/>
  <c r="AJ19" i="115"/>
  <c r="C15" i="115"/>
  <c r="C11" i="114" s="1"/>
  <c r="F6" i="114"/>
  <c r="F6" i="125"/>
  <c r="F7" i="114"/>
  <c r="F7" i="125"/>
  <c r="K16" i="122"/>
  <c r="D16" i="122" s="1"/>
  <c r="D6" i="114"/>
  <c r="I17" i="122"/>
  <c r="C17" i="122"/>
  <c r="AJ15" i="115"/>
  <c r="AS7" i="115"/>
  <c r="AS10" i="115"/>
  <c r="AR15" i="115"/>
  <c r="AT7" i="115"/>
  <c r="AT10" i="115"/>
  <c r="AU10" i="115"/>
  <c r="D6" i="125" l="1"/>
  <c r="H15" i="124"/>
  <c r="W16" i="122"/>
  <c r="H16" i="115"/>
  <c r="H18" i="122"/>
  <c r="J17" i="122"/>
  <c r="K17" i="122" s="1"/>
  <c r="J15" i="115"/>
  <c r="K15" i="115" s="1"/>
  <c r="AV13" i="115"/>
  <c r="AU13" i="115"/>
  <c r="AT13" i="115"/>
  <c r="X13" i="115"/>
  <c r="A16" i="100"/>
  <c r="AL10" i="100"/>
  <c r="I22" i="17"/>
  <c r="I21" i="17"/>
  <c r="I20" i="17"/>
  <c r="S11" i="100"/>
  <c r="S10" i="100"/>
  <c r="S109" i="100"/>
  <c r="S108" i="100"/>
  <c r="S107" i="100"/>
  <c r="S106" i="100"/>
  <c r="S105" i="100"/>
  <c r="S104" i="100"/>
  <c r="S103" i="100"/>
  <c r="S102" i="100"/>
  <c r="S101" i="100"/>
  <c r="S100" i="100"/>
  <c r="S99" i="100"/>
  <c r="S98" i="100"/>
  <c r="S97" i="100"/>
  <c r="S96" i="100"/>
  <c r="S95" i="100"/>
  <c r="S94" i="100"/>
  <c r="S93" i="100"/>
  <c r="S92" i="100"/>
  <c r="S91" i="100"/>
  <c r="S90" i="100"/>
  <c r="S89" i="100"/>
  <c r="S88" i="100"/>
  <c r="S87" i="100"/>
  <c r="S86" i="100"/>
  <c r="S85" i="100"/>
  <c r="S84" i="100"/>
  <c r="S83" i="100"/>
  <c r="S82" i="100"/>
  <c r="S81" i="100"/>
  <c r="S80" i="100"/>
  <c r="S79" i="100"/>
  <c r="S78" i="100"/>
  <c r="S77" i="100"/>
  <c r="S76" i="100"/>
  <c r="S75" i="100"/>
  <c r="S74" i="100"/>
  <c r="S73" i="100"/>
  <c r="S72" i="100"/>
  <c r="S71" i="100"/>
  <c r="S70" i="100"/>
  <c r="S69" i="100"/>
  <c r="S68" i="100"/>
  <c r="S67" i="100"/>
  <c r="S66" i="100"/>
  <c r="S65" i="100"/>
  <c r="S64" i="100"/>
  <c r="S63" i="100"/>
  <c r="S62" i="100"/>
  <c r="S61" i="100"/>
  <c r="S60" i="100"/>
  <c r="S59" i="100"/>
  <c r="S58" i="100"/>
  <c r="S57" i="100"/>
  <c r="S56" i="100"/>
  <c r="S55" i="100"/>
  <c r="S54" i="100"/>
  <c r="S53" i="100"/>
  <c r="S52" i="100"/>
  <c r="S51" i="100"/>
  <c r="S50" i="100"/>
  <c r="S49" i="100"/>
  <c r="S48" i="100"/>
  <c r="S47" i="100"/>
  <c r="S46" i="100"/>
  <c r="S45" i="100"/>
  <c r="S44" i="100"/>
  <c r="S43" i="100"/>
  <c r="S42" i="100"/>
  <c r="S41" i="100"/>
  <c r="S40" i="100"/>
  <c r="S39" i="100"/>
  <c r="S38" i="100"/>
  <c r="S37" i="100"/>
  <c r="S36" i="100"/>
  <c r="S35" i="100"/>
  <c r="S34" i="100"/>
  <c r="S33" i="100"/>
  <c r="S32" i="100"/>
  <c r="S31" i="100"/>
  <c r="S30" i="100"/>
  <c r="S29" i="100"/>
  <c r="S28" i="100"/>
  <c r="S27" i="100"/>
  <c r="S26" i="100"/>
  <c r="S25" i="100"/>
  <c r="S24" i="100"/>
  <c r="S23" i="100"/>
  <c r="S22" i="100"/>
  <c r="S21" i="100"/>
  <c r="S20" i="100"/>
  <c r="S19" i="100"/>
  <c r="S18" i="100"/>
  <c r="S17" i="100"/>
  <c r="S16" i="100"/>
  <c r="S15" i="100"/>
  <c r="S14" i="100"/>
  <c r="S13" i="100"/>
  <c r="S12" i="100"/>
  <c r="O10" i="100"/>
  <c r="O11" i="100"/>
  <c r="O16" i="100"/>
  <c r="P16" i="100" s="1"/>
  <c r="O15" i="100"/>
  <c r="P15" i="100" s="1"/>
  <c r="O14" i="100"/>
  <c r="P14" i="100" s="1"/>
  <c r="O13" i="100"/>
  <c r="P13" i="100" s="1"/>
  <c r="O12" i="100"/>
  <c r="P12" i="100" s="1"/>
  <c r="P11" i="100"/>
  <c r="P10" i="100"/>
  <c r="T10" i="100" s="1"/>
  <c r="O109" i="100"/>
  <c r="P109" i="100" s="1"/>
  <c r="O108" i="100"/>
  <c r="P108" i="100" s="1"/>
  <c r="O107" i="100"/>
  <c r="P107" i="100" s="1"/>
  <c r="O106" i="100"/>
  <c r="P106" i="100" s="1"/>
  <c r="O105" i="100"/>
  <c r="P105" i="100" s="1"/>
  <c r="O104" i="100"/>
  <c r="P104" i="100" s="1"/>
  <c r="O103" i="100"/>
  <c r="P103" i="100" s="1"/>
  <c r="O102" i="100"/>
  <c r="P102" i="100" s="1"/>
  <c r="O101" i="100"/>
  <c r="P101" i="100" s="1"/>
  <c r="O100" i="100"/>
  <c r="P100" i="100" s="1"/>
  <c r="O99" i="100"/>
  <c r="P99" i="100" s="1"/>
  <c r="O98" i="100"/>
  <c r="P98" i="100" s="1"/>
  <c r="O97" i="100"/>
  <c r="P97" i="100" s="1"/>
  <c r="O96" i="100"/>
  <c r="P96" i="100" s="1"/>
  <c r="O95" i="100"/>
  <c r="P95" i="100" s="1"/>
  <c r="O94" i="100"/>
  <c r="P94" i="100" s="1"/>
  <c r="O93" i="100"/>
  <c r="P93" i="100" s="1"/>
  <c r="O92" i="100"/>
  <c r="P92" i="100" s="1"/>
  <c r="O91" i="100"/>
  <c r="P91" i="100" s="1"/>
  <c r="O90" i="100"/>
  <c r="P90" i="100" s="1"/>
  <c r="O89" i="100"/>
  <c r="P89" i="100" s="1"/>
  <c r="O88" i="100"/>
  <c r="P88" i="100" s="1"/>
  <c r="O87" i="100"/>
  <c r="P87" i="100" s="1"/>
  <c r="O86" i="100"/>
  <c r="P86" i="100" s="1"/>
  <c r="O85" i="100"/>
  <c r="P85" i="100" s="1"/>
  <c r="O84" i="100"/>
  <c r="P84" i="100" s="1"/>
  <c r="O83" i="100"/>
  <c r="P83" i="100" s="1"/>
  <c r="O82" i="100"/>
  <c r="P82" i="100" s="1"/>
  <c r="O81" i="100"/>
  <c r="P81" i="100" s="1"/>
  <c r="O80" i="100"/>
  <c r="P80" i="100" s="1"/>
  <c r="O79" i="100"/>
  <c r="P79" i="100" s="1"/>
  <c r="O78" i="100"/>
  <c r="P78" i="100" s="1"/>
  <c r="O77" i="100"/>
  <c r="P77" i="100" s="1"/>
  <c r="O76" i="100"/>
  <c r="P76" i="100" s="1"/>
  <c r="O75" i="100"/>
  <c r="P75" i="100" s="1"/>
  <c r="O74" i="100"/>
  <c r="P74" i="100" s="1"/>
  <c r="O73" i="100"/>
  <c r="P73" i="100" s="1"/>
  <c r="O72" i="100"/>
  <c r="P72" i="100" s="1"/>
  <c r="O71" i="100"/>
  <c r="P71" i="100" s="1"/>
  <c r="O70" i="100"/>
  <c r="P70" i="100" s="1"/>
  <c r="O69" i="100"/>
  <c r="P69" i="100" s="1"/>
  <c r="O68" i="100"/>
  <c r="P68" i="100" s="1"/>
  <c r="O67" i="100"/>
  <c r="P67" i="100" s="1"/>
  <c r="O66" i="100"/>
  <c r="P66" i="100" s="1"/>
  <c r="O65" i="100"/>
  <c r="P65" i="100" s="1"/>
  <c r="O64" i="100"/>
  <c r="P64" i="100" s="1"/>
  <c r="O63" i="100"/>
  <c r="P63" i="100" s="1"/>
  <c r="O62" i="100"/>
  <c r="P62" i="100" s="1"/>
  <c r="O61" i="100"/>
  <c r="P61" i="100" s="1"/>
  <c r="O60" i="100"/>
  <c r="P60" i="100" s="1"/>
  <c r="O59" i="100"/>
  <c r="P59" i="100" s="1"/>
  <c r="O58" i="100"/>
  <c r="P58" i="100" s="1"/>
  <c r="O57" i="100"/>
  <c r="P57" i="100" s="1"/>
  <c r="O56" i="100"/>
  <c r="P56" i="100" s="1"/>
  <c r="O55" i="100"/>
  <c r="P55" i="100" s="1"/>
  <c r="O54" i="100"/>
  <c r="P54" i="100" s="1"/>
  <c r="O53" i="100"/>
  <c r="P53" i="100" s="1"/>
  <c r="O52" i="100"/>
  <c r="P52" i="100" s="1"/>
  <c r="O51" i="100"/>
  <c r="P51" i="100" s="1"/>
  <c r="O50" i="100"/>
  <c r="P50" i="100" s="1"/>
  <c r="O49" i="100"/>
  <c r="P49" i="100" s="1"/>
  <c r="P48" i="100"/>
  <c r="O48" i="100"/>
  <c r="O47" i="100"/>
  <c r="P47" i="100" s="1"/>
  <c r="O46" i="100"/>
  <c r="P46" i="100" s="1"/>
  <c r="O45" i="100"/>
  <c r="P45" i="100" s="1"/>
  <c r="O44" i="100"/>
  <c r="P44" i="100" s="1"/>
  <c r="O43" i="100"/>
  <c r="P43" i="100" s="1"/>
  <c r="O42" i="100"/>
  <c r="P42" i="100" s="1"/>
  <c r="O41" i="100"/>
  <c r="P41" i="100" s="1"/>
  <c r="O40" i="100"/>
  <c r="P40" i="100" s="1"/>
  <c r="O39" i="100"/>
  <c r="P39" i="100" s="1"/>
  <c r="O38" i="100"/>
  <c r="P38" i="100" s="1"/>
  <c r="O37" i="100"/>
  <c r="P37" i="100" s="1"/>
  <c r="O36" i="100"/>
  <c r="P36" i="100" s="1"/>
  <c r="O35" i="100"/>
  <c r="P35" i="100" s="1"/>
  <c r="O34" i="100"/>
  <c r="P34" i="100" s="1"/>
  <c r="O33" i="100"/>
  <c r="P33" i="100" s="1"/>
  <c r="O32" i="100"/>
  <c r="P32" i="100" s="1"/>
  <c r="O31" i="100"/>
  <c r="P31" i="100" s="1"/>
  <c r="O30" i="100"/>
  <c r="P30" i="100" s="1"/>
  <c r="O29" i="100"/>
  <c r="P29" i="100" s="1"/>
  <c r="O28" i="100"/>
  <c r="P28" i="100" s="1"/>
  <c r="O27" i="100"/>
  <c r="P27" i="100" s="1"/>
  <c r="O26" i="100"/>
  <c r="P26" i="100" s="1"/>
  <c r="O25" i="100"/>
  <c r="P25" i="100" s="1"/>
  <c r="O24" i="100"/>
  <c r="P24" i="100" s="1"/>
  <c r="O23" i="100"/>
  <c r="P23" i="100" s="1"/>
  <c r="O22" i="100"/>
  <c r="P22" i="100" s="1"/>
  <c r="O21" i="100"/>
  <c r="P21" i="100" s="1"/>
  <c r="O20" i="100"/>
  <c r="P20" i="100" s="1"/>
  <c r="O19" i="100"/>
  <c r="P19" i="100" s="1"/>
  <c r="O18" i="100"/>
  <c r="P18" i="100" s="1"/>
  <c r="O17" i="100"/>
  <c r="P17" i="100" s="1"/>
  <c r="F16" i="124" l="1"/>
  <c r="G16" i="124" s="1"/>
  <c r="C15" i="124"/>
  <c r="AB15" i="115"/>
  <c r="AD43" i="115"/>
  <c r="AC42" i="115"/>
  <c r="AB41" i="115"/>
  <c r="AD35" i="115"/>
  <c r="AC34" i="115"/>
  <c r="AB33" i="115"/>
  <c r="AD27" i="115"/>
  <c r="AC26" i="115"/>
  <c r="AB25" i="115"/>
  <c r="AD19" i="115"/>
  <c r="AC18" i="115"/>
  <c r="AB17" i="115"/>
  <c r="AD38" i="115"/>
  <c r="AB28" i="115"/>
  <c r="AC21" i="115"/>
  <c r="AD44" i="115"/>
  <c r="AC43" i="115"/>
  <c r="AB42" i="115"/>
  <c r="AD36" i="115"/>
  <c r="AC35" i="115"/>
  <c r="AB34" i="115"/>
  <c r="AD28" i="115"/>
  <c r="AC27" i="115"/>
  <c r="AB26" i="115"/>
  <c r="AD20" i="115"/>
  <c r="AC19" i="115"/>
  <c r="AB18" i="115"/>
  <c r="AB44" i="115"/>
  <c r="AB36" i="115"/>
  <c r="AD30" i="115"/>
  <c r="AC44" i="115"/>
  <c r="AB43" i="115"/>
  <c r="AD37" i="115"/>
  <c r="AC36" i="115"/>
  <c r="AB35" i="115"/>
  <c r="AD29" i="115"/>
  <c r="AC28" i="115"/>
  <c r="AB27" i="115"/>
  <c r="AD21" i="115"/>
  <c r="AC20" i="115"/>
  <c r="AB19" i="115"/>
  <c r="AC37" i="115"/>
  <c r="AC29" i="115"/>
  <c r="AD22" i="115"/>
  <c r="AB20" i="115"/>
  <c r="AD39" i="115"/>
  <c r="AC38" i="115"/>
  <c r="AB37" i="115"/>
  <c r="AD31" i="115"/>
  <c r="AC30" i="115"/>
  <c r="AB29" i="115"/>
  <c r="AD23" i="115"/>
  <c r="AC22" i="115"/>
  <c r="AB21" i="115"/>
  <c r="AC41" i="115"/>
  <c r="AB32" i="115"/>
  <c r="AB24" i="115"/>
  <c r="AC17" i="115"/>
  <c r="AD40" i="115"/>
  <c r="AC39" i="115"/>
  <c r="AB38" i="115"/>
  <c r="AD32" i="115"/>
  <c r="AC31" i="115"/>
  <c r="AB30" i="115"/>
  <c r="AD24" i="115"/>
  <c r="AC23" i="115"/>
  <c r="AB22" i="115"/>
  <c r="AD16" i="115"/>
  <c r="AB40" i="115"/>
  <c r="AD34" i="115"/>
  <c r="AC25" i="115"/>
  <c r="AD18" i="115"/>
  <c r="AD41" i="115"/>
  <c r="AC40" i="115"/>
  <c r="AB39" i="115"/>
  <c r="AD33" i="115"/>
  <c r="AC32" i="115"/>
  <c r="AB31" i="115"/>
  <c r="AD25" i="115"/>
  <c r="AC24" i="115"/>
  <c r="AB23" i="115"/>
  <c r="AD17" i="115"/>
  <c r="AC16" i="115"/>
  <c r="AD42" i="115"/>
  <c r="AC33" i="115"/>
  <c r="AD26" i="115"/>
  <c r="AB16" i="115"/>
  <c r="D15" i="115"/>
  <c r="C16" i="115"/>
  <c r="C12" i="114" s="1"/>
  <c r="I16" i="115"/>
  <c r="W17" i="122"/>
  <c r="D17" i="122"/>
  <c r="C18" i="122"/>
  <c r="I18" i="122"/>
  <c r="AC15" i="115"/>
  <c r="AD15" i="115"/>
  <c r="T14" i="100"/>
  <c r="U14" i="100" s="1"/>
  <c r="T13" i="100"/>
  <c r="U13" i="100" s="1"/>
  <c r="T12" i="100"/>
  <c r="U12" i="100" s="1"/>
  <c r="T11" i="100"/>
  <c r="U11" i="100" s="1"/>
  <c r="AG11" i="100" s="1"/>
  <c r="AL109" i="100"/>
  <c r="AI109" i="100"/>
  <c r="AH109" i="100"/>
  <c r="AG109" i="100"/>
  <c r="AF109" i="100"/>
  <c r="U109" i="100"/>
  <c r="T109" i="100"/>
  <c r="L109" i="100"/>
  <c r="K109" i="100"/>
  <c r="J109" i="100"/>
  <c r="I109" i="100"/>
  <c r="A109" i="100"/>
  <c r="AL108" i="100"/>
  <c r="AI108" i="100"/>
  <c r="AH108" i="100"/>
  <c r="AG108" i="100"/>
  <c r="AF108" i="100"/>
  <c r="U108" i="100"/>
  <c r="T108" i="100"/>
  <c r="L108" i="100"/>
  <c r="K108" i="100"/>
  <c r="J108" i="100"/>
  <c r="I108" i="100"/>
  <c r="A108" i="100"/>
  <c r="AL107" i="100"/>
  <c r="AI107" i="100"/>
  <c r="AH107" i="100"/>
  <c r="AG107" i="100"/>
  <c r="AF107" i="100"/>
  <c r="U107" i="100"/>
  <c r="T107" i="100"/>
  <c r="L107" i="100"/>
  <c r="K107" i="100"/>
  <c r="J107" i="100"/>
  <c r="I107" i="100"/>
  <c r="A107" i="100"/>
  <c r="AL106" i="100"/>
  <c r="AI106" i="100"/>
  <c r="AH106" i="100"/>
  <c r="AG106" i="100"/>
  <c r="AF106" i="100"/>
  <c r="U106" i="100"/>
  <c r="T106" i="100"/>
  <c r="L106" i="100"/>
  <c r="K106" i="100"/>
  <c r="J106" i="100"/>
  <c r="I106" i="100"/>
  <c r="A106" i="100"/>
  <c r="AL105" i="100"/>
  <c r="AI105" i="100"/>
  <c r="AH105" i="100"/>
  <c r="AG105" i="100"/>
  <c r="AF105" i="100"/>
  <c r="U105" i="100"/>
  <c r="T105" i="100"/>
  <c r="L105" i="100"/>
  <c r="K105" i="100"/>
  <c r="J105" i="100"/>
  <c r="I105" i="100"/>
  <c r="A105" i="100"/>
  <c r="AL104" i="100"/>
  <c r="AI104" i="100"/>
  <c r="AH104" i="100"/>
  <c r="AG104" i="100"/>
  <c r="AF104" i="100"/>
  <c r="U104" i="100"/>
  <c r="T104" i="100"/>
  <c r="L104" i="100"/>
  <c r="K104" i="100"/>
  <c r="J104" i="100"/>
  <c r="I104" i="100"/>
  <c r="A104" i="100"/>
  <c r="AL103" i="100"/>
  <c r="AI103" i="100"/>
  <c r="AH103" i="100"/>
  <c r="AG103" i="100"/>
  <c r="AF103" i="100"/>
  <c r="U103" i="100"/>
  <c r="T103" i="100"/>
  <c r="L103" i="100"/>
  <c r="K103" i="100"/>
  <c r="J103" i="100"/>
  <c r="I103" i="100"/>
  <c r="A103" i="100"/>
  <c r="AL102" i="100"/>
  <c r="AI102" i="100"/>
  <c r="AH102" i="100"/>
  <c r="AG102" i="100"/>
  <c r="AF102" i="100"/>
  <c r="U102" i="100"/>
  <c r="T102" i="100"/>
  <c r="L102" i="100"/>
  <c r="K102" i="100"/>
  <c r="J102" i="100"/>
  <c r="I102" i="100"/>
  <c r="A102" i="100"/>
  <c r="AL101" i="100"/>
  <c r="AI101" i="100"/>
  <c r="AH101" i="100"/>
  <c r="AG101" i="100"/>
  <c r="AF101" i="100"/>
  <c r="U101" i="100"/>
  <c r="T101" i="100"/>
  <c r="L101" i="100"/>
  <c r="K101" i="100"/>
  <c r="J101" i="100"/>
  <c r="I101" i="100"/>
  <c r="A101" i="100"/>
  <c r="AL100" i="100"/>
  <c r="AI100" i="100"/>
  <c r="AH100" i="100"/>
  <c r="AG100" i="100"/>
  <c r="AF100" i="100"/>
  <c r="U100" i="100"/>
  <c r="T100" i="100"/>
  <c r="L100" i="100"/>
  <c r="K100" i="100"/>
  <c r="J100" i="100"/>
  <c r="I100" i="100"/>
  <c r="A100" i="100"/>
  <c r="AL99" i="100"/>
  <c r="AI99" i="100"/>
  <c r="AH99" i="100"/>
  <c r="AG99" i="100"/>
  <c r="AF99" i="100"/>
  <c r="U99" i="100"/>
  <c r="T99" i="100"/>
  <c r="L99" i="100"/>
  <c r="K99" i="100"/>
  <c r="J99" i="100"/>
  <c r="I99" i="100"/>
  <c r="A99" i="100"/>
  <c r="AL98" i="100"/>
  <c r="AI98" i="100"/>
  <c r="AH98" i="100"/>
  <c r="AG98" i="100"/>
  <c r="AF98" i="100"/>
  <c r="U98" i="100"/>
  <c r="T98" i="100"/>
  <c r="L98" i="100"/>
  <c r="K98" i="100"/>
  <c r="J98" i="100"/>
  <c r="I98" i="100"/>
  <c r="A98" i="100"/>
  <c r="AL97" i="100"/>
  <c r="AI97" i="100"/>
  <c r="AH97" i="100"/>
  <c r="AG97" i="100"/>
  <c r="AF97" i="100"/>
  <c r="U97" i="100"/>
  <c r="T97" i="100"/>
  <c r="L97" i="100"/>
  <c r="K97" i="100"/>
  <c r="J97" i="100"/>
  <c r="I97" i="100"/>
  <c r="A97" i="100"/>
  <c r="AL96" i="100"/>
  <c r="AI96" i="100"/>
  <c r="AH96" i="100"/>
  <c r="AG96" i="100"/>
  <c r="AF96" i="100"/>
  <c r="U96" i="100"/>
  <c r="T96" i="100"/>
  <c r="L96" i="100"/>
  <c r="K96" i="100"/>
  <c r="J96" i="100"/>
  <c r="I96" i="100"/>
  <c r="A96" i="100"/>
  <c r="AL95" i="100"/>
  <c r="AI95" i="100"/>
  <c r="AH95" i="100"/>
  <c r="AG95" i="100"/>
  <c r="AF95" i="100"/>
  <c r="U95" i="100"/>
  <c r="T95" i="100"/>
  <c r="L95" i="100"/>
  <c r="K95" i="100"/>
  <c r="J95" i="100"/>
  <c r="I95" i="100"/>
  <c r="A95" i="100"/>
  <c r="AL94" i="100"/>
  <c r="AI94" i="100"/>
  <c r="AH94" i="100"/>
  <c r="AG94" i="100"/>
  <c r="AF94" i="100"/>
  <c r="U94" i="100"/>
  <c r="T94" i="100"/>
  <c r="L94" i="100"/>
  <c r="K94" i="100"/>
  <c r="J94" i="100"/>
  <c r="I94" i="100"/>
  <c r="A94" i="100"/>
  <c r="AL93" i="100"/>
  <c r="AI93" i="100"/>
  <c r="AH93" i="100"/>
  <c r="AG93" i="100"/>
  <c r="AF93" i="100"/>
  <c r="U93" i="100"/>
  <c r="T93" i="100"/>
  <c r="L93" i="100"/>
  <c r="K93" i="100"/>
  <c r="J93" i="100"/>
  <c r="I93" i="100"/>
  <c r="A93" i="100"/>
  <c r="AL92" i="100"/>
  <c r="AI92" i="100"/>
  <c r="AH92" i="100"/>
  <c r="AG92" i="100"/>
  <c r="AF92" i="100"/>
  <c r="U92" i="100"/>
  <c r="T92" i="100"/>
  <c r="L92" i="100"/>
  <c r="K92" i="100"/>
  <c r="J92" i="100"/>
  <c r="I92" i="100"/>
  <c r="A92" i="100"/>
  <c r="AL91" i="100"/>
  <c r="AI91" i="100"/>
  <c r="AH91" i="100"/>
  <c r="AG91" i="100"/>
  <c r="AF91" i="100"/>
  <c r="U91" i="100"/>
  <c r="T91" i="100"/>
  <c r="L91" i="100"/>
  <c r="K91" i="100"/>
  <c r="J91" i="100"/>
  <c r="I91" i="100"/>
  <c r="A91" i="100"/>
  <c r="AL90" i="100"/>
  <c r="AI90" i="100"/>
  <c r="AH90" i="100"/>
  <c r="AG90" i="100"/>
  <c r="AF90" i="100"/>
  <c r="U90" i="100"/>
  <c r="T90" i="100"/>
  <c r="L90" i="100"/>
  <c r="K90" i="100"/>
  <c r="J90" i="100"/>
  <c r="I90" i="100"/>
  <c r="A90" i="100"/>
  <c r="AL89" i="100"/>
  <c r="AI89" i="100"/>
  <c r="AH89" i="100"/>
  <c r="AG89" i="100"/>
  <c r="AF89" i="100"/>
  <c r="U89" i="100"/>
  <c r="T89" i="100"/>
  <c r="L89" i="100"/>
  <c r="K89" i="100"/>
  <c r="J89" i="100"/>
  <c r="I89" i="100"/>
  <c r="A89" i="100"/>
  <c r="AL88" i="100"/>
  <c r="AI88" i="100"/>
  <c r="AH88" i="100"/>
  <c r="AG88" i="100"/>
  <c r="AF88" i="100"/>
  <c r="U88" i="100"/>
  <c r="T88" i="100"/>
  <c r="L88" i="100"/>
  <c r="K88" i="100"/>
  <c r="J88" i="100"/>
  <c r="I88" i="100"/>
  <c r="A88" i="100"/>
  <c r="AL87" i="100"/>
  <c r="AI87" i="100"/>
  <c r="AH87" i="100"/>
  <c r="AG87" i="100"/>
  <c r="AF87" i="100"/>
  <c r="U87" i="100"/>
  <c r="T87" i="100"/>
  <c r="L87" i="100"/>
  <c r="K87" i="100"/>
  <c r="J87" i="100"/>
  <c r="I87" i="100"/>
  <c r="A87" i="100"/>
  <c r="AL86" i="100"/>
  <c r="AI86" i="100"/>
  <c r="AH86" i="100"/>
  <c r="AG86" i="100"/>
  <c r="AF86" i="100"/>
  <c r="U86" i="100"/>
  <c r="T86" i="100"/>
  <c r="L86" i="100"/>
  <c r="K86" i="100"/>
  <c r="J86" i="100"/>
  <c r="I86" i="100"/>
  <c r="A86" i="100"/>
  <c r="AL85" i="100"/>
  <c r="AI85" i="100"/>
  <c r="AH85" i="100"/>
  <c r="AG85" i="100"/>
  <c r="AF85" i="100"/>
  <c r="U85" i="100"/>
  <c r="T85" i="100"/>
  <c r="L85" i="100"/>
  <c r="K85" i="100"/>
  <c r="J85" i="100"/>
  <c r="I85" i="100"/>
  <c r="A85" i="100"/>
  <c r="AL84" i="100"/>
  <c r="AI84" i="100"/>
  <c r="AH84" i="100"/>
  <c r="AG84" i="100"/>
  <c r="AF84" i="100"/>
  <c r="U84" i="100"/>
  <c r="T84" i="100"/>
  <c r="L84" i="100"/>
  <c r="K84" i="100"/>
  <c r="J84" i="100"/>
  <c r="I84" i="100"/>
  <c r="A84" i="100"/>
  <c r="AL83" i="100"/>
  <c r="AI83" i="100"/>
  <c r="AH83" i="100"/>
  <c r="AG83" i="100"/>
  <c r="AF83" i="100"/>
  <c r="U83" i="100"/>
  <c r="T83" i="100"/>
  <c r="L83" i="100"/>
  <c r="K83" i="100"/>
  <c r="J83" i="100"/>
  <c r="I83" i="100"/>
  <c r="A83" i="100"/>
  <c r="AL82" i="100"/>
  <c r="AI82" i="100"/>
  <c r="AH82" i="100"/>
  <c r="AG82" i="100"/>
  <c r="AF82" i="100"/>
  <c r="U82" i="100"/>
  <c r="T82" i="100"/>
  <c r="L82" i="100"/>
  <c r="K82" i="100"/>
  <c r="J82" i="100"/>
  <c r="I82" i="100"/>
  <c r="A82" i="100"/>
  <c r="AL81" i="100"/>
  <c r="AI81" i="100"/>
  <c r="AH81" i="100"/>
  <c r="AG81" i="100"/>
  <c r="AF81" i="100"/>
  <c r="U81" i="100"/>
  <c r="T81" i="100"/>
  <c r="L81" i="100"/>
  <c r="K81" i="100"/>
  <c r="J81" i="100"/>
  <c r="I81" i="100"/>
  <c r="A81" i="100"/>
  <c r="AL80" i="100"/>
  <c r="AI80" i="100"/>
  <c r="AH80" i="100"/>
  <c r="AG80" i="100"/>
  <c r="AF80" i="100"/>
  <c r="U80" i="100"/>
  <c r="T80" i="100"/>
  <c r="L80" i="100"/>
  <c r="K80" i="100"/>
  <c r="J80" i="100"/>
  <c r="I80" i="100"/>
  <c r="A80" i="100"/>
  <c r="AL79" i="100"/>
  <c r="AI79" i="100"/>
  <c r="AH79" i="100"/>
  <c r="AG79" i="100"/>
  <c r="AF79" i="100"/>
  <c r="U79" i="100"/>
  <c r="T79" i="100"/>
  <c r="L79" i="100"/>
  <c r="K79" i="100"/>
  <c r="J79" i="100"/>
  <c r="I79" i="100"/>
  <c r="A79" i="100"/>
  <c r="AL78" i="100"/>
  <c r="AI78" i="100"/>
  <c r="AH78" i="100"/>
  <c r="AG78" i="100"/>
  <c r="AF78" i="100"/>
  <c r="U78" i="100"/>
  <c r="T78" i="100"/>
  <c r="L78" i="100"/>
  <c r="K78" i="100"/>
  <c r="J78" i="100"/>
  <c r="I78" i="100"/>
  <c r="A78" i="100"/>
  <c r="AL77" i="100"/>
  <c r="AI77" i="100"/>
  <c r="AH77" i="100"/>
  <c r="AG77" i="100"/>
  <c r="AF77" i="100"/>
  <c r="U77" i="100"/>
  <c r="T77" i="100"/>
  <c r="L77" i="100"/>
  <c r="K77" i="100"/>
  <c r="J77" i="100"/>
  <c r="I77" i="100"/>
  <c r="A77" i="100"/>
  <c r="AL76" i="100"/>
  <c r="AI76" i="100"/>
  <c r="AH76" i="100"/>
  <c r="AG76" i="100"/>
  <c r="AF76" i="100"/>
  <c r="U76" i="100"/>
  <c r="T76" i="100"/>
  <c r="L76" i="100"/>
  <c r="K76" i="100"/>
  <c r="J76" i="100"/>
  <c r="I76" i="100"/>
  <c r="A76" i="100"/>
  <c r="AL75" i="100"/>
  <c r="AI75" i="100"/>
  <c r="AH75" i="100"/>
  <c r="AG75" i="100"/>
  <c r="AF75" i="100"/>
  <c r="U75" i="100"/>
  <c r="T75" i="100"/>
  <c r="L75" i="100"/>
  <c r="K75" i="100"/>
  <c r="J75" i="100"/>
  <c r="I75" i="100"/>
  <c r="A75" i="100"/>
  <c r="AL74" i="100"/>
  <c r="AI74" i="100"/>
  <c r="AH74" i="100"/>
  <c r="AG74" i="100"/>
  <c r="AF74" i="100"/>
  <c r="U74" i="100"/>
  <c r="T74" i="100"/>
  <c r="L74" i="100"/>
  <c r="K74" i="100"/>
  <c r="J74" i="100"/>
  <c r="I74" i="100"/>
  <c r="A74" i="100"/>
  <c r="AL73" i="100"/>
  <c r="AI73" i="100"/>
  <c r="AH73" i="100"/>
  <c r="AG73" i="100"/>
  <c r="AF73" i="100"/>
  <c r="U73" i="100"/>
  <c r="T73" i="100"/>
  <c r="L73" i="100"/>
  <c r="K73" i="100"/>
  <c r="J73" i="100"/>
  <c r="I73" i="100"/>
  <c r="A73" i="100"/>
  <c r="AL72" i="100"/>
  <c r="AI72" i="100"/>
  <c r="AH72" i="100"/>
  <c r="AG72" i="100"/>
  <c r="AF72" i="100"/>
  <c r="U72" i="100"/>
  <c r="T72" i="100"/>
  <c r="L72" i="100"/>
  <c r="K72" i="100"/>
  <c r="J72" i="100"/>
  <c r="I72" i="100"/>
  <c r="A72" i="100"/>
  <c r="AL71" i="100"/>
  <c r="AI71" i="100"/>
  <c r="AH71" i="100"/>
  <c r="AG71" i="100"/>
  <c r="AF71" i="100"/>
  <c r="U71" i="100"/>
  <c r="T71" i="100"/>
  <c r="L71" i="100"/>
  <c r="K71" i="100"/>
  <c r="J71" i="100"/>
  <c r="I71" i="100"/>
  <c r="A71" i="100"/>
  <c r="AL70" i="100"/>
  <c r="AI70" i="100"/>
  <c r="AH70" i="100"/>
  <c r="AG70" i="100"/>
  <c r="AF70" i="100"/>
  <c r="U70" i="100"/>
  <c r="T70" i="100"/>
  <c r="L70" i="100"/>
  <c r="K70" i="100"/>
  <c r="J70" i="100"/>
  <c r="I70" i="100"/>
  <c r="A70" i="100"/>
  <c r="AL69" i="100"/>
  <c r="AI69" i="100"/>
  <c r="AH69" i="100"/>
  <c r="AG69" i="100"/>
  <c r="AF69" i="100"/>
  <c r="U69" i="100"/>
  <c r="T69" i="100"/>
  <c r="L69" i="100"/>
  <c r="K69" i="100"/>
  <c r="J69" i="100"/>
  <c r="I69" i="100"/>
  <c r="A69" i="100"/>
  <c r="AL68" i="100"/>
  <c r="AI68" i="100"/>
  <c r="AH68" i="100"/>
  <c r="AG68" i="100"/>
  <c r="AF68" i="100"/>
  <c r="U68" i="100"/>
  <c r="T68" i="100"/>
  <c r="L68" i="100"/>
  <c r="K68" i="100"/>
  <c r="J68" i="100"/>
  <c r="I68" i="100"/>
  <c r="A68" i="100"/>
  <c r="AL67" i="100"/>
  <c r="AI67" i="100"/>
  <c r="AH67" i="100"/>
  <c r="AG67" i="100"/>
  <c r="AF67" i="100"/>
  <c r="U67" i="100"/>
  <c r="T67" i="100"/>
  <c r="L67" i="100"/>
  <c r="K67" i="100"/>
  <c r="J67" i="100"/>
  <c r="I67" i="100"/>
  <c r="A67" i="100"/>
  <c r="AL66" i="100"/>
  <c r="AI66" i="100"/>
  <c r="AH66" i="100"/>
  <c r="AG66" i="100"/>
  <c r="AF66" i="100"/>
  <c r="U66" i="100"/>
  <c r="T66" i="100"/>
  <c r="L66" i="100"/>
  <c r="K66" i="100"/>
  <c r="J66" i="100"/>
  <c r="I66" i="100"/>
  <c r="A66" i="100"/>
  <c r="AL65" i="100"/>
  <c r="AI65" i="100"/>
  <c r="AH65" i="100"/>
  <c r="AG65" i="100"/>
  <c r="AF65" i="100"/>
  <c r="U65" i="100"/>
  <c r="T65" i="100"/>
  <c r="L65" i="100"/>
  <c r="K65" i="100"/>
  <c r="J65" i="100"/>
  <c r="I65" i="100"/>
  <c r="A65" i="100"/>
  <c r="AL64" i="100"/>
  <c r="AI64" i="100"/>
  <c r="AH64" i="100"/>
  <c r="AG64" i="100"/>
  <c r="AF64" i="100"/>
  <c r="U64" i="100"/>
  <c r="T64" i="100"/>
  <c r="L64" i="100"/>
  <c r="K64" i="100"/>
  <c r="J64" i="100"/>
  <c r="I64" i="100"/>
  <c r="A64" i="100"/>
  <c r="AL63" i="100"/>
  <c r="AI63" i="100"/>
  <c r="AH63" i="100"/>
  <c r="AG63" i="100"/>
  <c r="AF63" i="100"/>
  <c r="U63" i="100"/>
  <c r="T63" i="100"/>
  <c r="L63" i="100"/>
  <c r="K63" i="100"/>
  <c r="J63" i="100"/>
  <c r="I63" i="100"/>
  <c r="A63" i="100"/>
  <c r="AL62" i="100"/>
  <c r="AI62" i="100"/>
  <c r="AH62" i="100"/>
  <c r="AG62" i="100"/>
  <c r="AF62" i="100"/>
  <c r="U62" i="100"/>
  <c r="T62" i="100"/>
  <c r="L62" i="100"/>
  <c r="K62" i="100"/>
  <c r="J62" i="100"/>
  <c r="I62" i="100"/>
  <c r="A62" i="100"/>
  <c r="AL61" i="100"/>
  <c r="AI61" i="100"/>
  <c r="AH61" i="100"/>
  <c r="AG61" i="100"/>
  <c r="AF61" i="100"/>
  <c r="U61" i="100"/>
  <c r="T61" i="100"/>
  <c r="L61" i="100"/>
  <c r="K61" i="100"/>
  <c r="J61" i="100"/>
  <c r="I61" i="100"/>
  <c r="A61" i="100"/>
  <c r="AL60" i="100"/>
  <c r="AI60" i="100"/>
  <c r="AH60" i="100"/>
  <c r="AG60" i="100"/>
  <c r="AF60" i="100"/>
  <c r="U60" i="100"/>
  <c r="T60" i="100"/>
  <c r="L60" i="100"/>
  <c r="K60" i="100"/>
  <c r="J60" i="100"/>
  <c r="I60" i="100"/>
  <c r="A60" i="100"/>
  <c r="AL59" i="100"/>
  <c r="AI59" i="100"/>
  <c r="AH59" i="100"/>
  <c r="AG59" i="100"/>
  <c r="AF59" i="100"/>
  <c r="U59" i="100"/>
  <c r="T59" i="100"/>
  <c r="L59" i="100"/>
  <c r="K59" i="100"/>
  <c r="J59" i="100"/>
  <c r="I59" i="100"/>
  <c r="A59" i="100"/>
  <c r="AL58" i="100"/>
  <c r="AI58" i="100"/>
  <c r="AH58" i="100"/>
  <c r="AG58" i="100"/>
  <c r="AF58" i="100"/>
  <c r="U58" i="100"/>
  <c r="T58" i="100"/>
  <c r="L58" i="100"/>
  <c r="K58" i="100"/>
  <c r="J58" i="100"/>
  <c r="I58" i="100"/>
  <c r="A58" i="100"/>
  <c r="AL57" i="100"/>
  <c r="AI57" i="100"/>
  <c r="AH57" i="100"/>
  <c r="AG57" i="100"/>
  <c r="AF57" i="100"/>
  <c r="U57" i="100"/>
  <c r="T57" i="100"/>
  <c r="L57" i="100"/>
  <c r="K57" i="100"/>
  <c r="J57" i="100"/>
  <c r="I57" i="100"/>
  <c r="A57" i="100"/>
  <c r="AL56" i="100"/>
  <c r="AI56" i="100"/>
  <c r="AH56" i="100"/>
  <c r="AG56" i="100"/>
  <c r="AF56" i="100"/>
  <c r="U56" i="100"/>
  <c r="T56" i="100"/>
  <c r="L56" i="100"/>
  <c r="K56" i="100"/>
  <c r="J56" i="100"/>
  <c r="I56" i="100"/>
  <c r="A56" i="100"/>
  <c r="AL55" i="100"/>
  <c r="AI55" i="100"/>
  <c r="AH55" i="100"/>
  <c r="AG55" i="100"/>
  <c r="AF55" i="100"/>
  <c r="U55" i="100"/>
  <c r="T55" i="100"/>
  <c r="L55" i="100"/>
  <c r="K55" i="100"/>
  <c r="J55" i="100"/>
  <c r="I55" i="100"/>
  <c r="A55" i="100"/>
  <c r="AL54" i="100"/>
  <c r="AI54" i="100"/>
  <c r="AH54" i="100"/>
  <c r="AG54" i="100"/>
  <c r="AF54" i="100"/>
  <c r="U54" i="100"/>
  <c r="T54" i="100"/>
  <c r="L54" i="100"/>
  <c r="K54" i="100"/>
  <c r="J54" i="100"/>
  <c r="I54" i="100"/>
  <c r="A54" i="100"/>
  <c r="AL53" i="100"/>
  <c r="AI53" i="100"/>
  <c r="AH53" i="100"/>
  <c r="AG53" i="100"/>
  <c r="AF53" i="100"/>
  <c r="U53" i="100"/>
  <c r="T53" i="100"/>
  <c r="L53" i="100"/>
  <c r="K53" i="100"/>
  <c r="J53" i="100"/>
  <c r="I53" i="100"/>
  <c r="A53" i="100"/>
  <c r="AL52" i="100"/>
  <c r="AI52" i="100"/>
  <c r="AH52" i="100"/>
  <c r="AG52" i="100"/>
  <c r="AF52" i="100"/>
  <c r="U52" i="100"/>
  <c r="T52" i="100"/>
  <c r="L52" i="100"/>
  <c r="K52" i="100"/>
  <c r="J52" i="100"/>
  <c r="I52" i="100"/>
  <c r="A52" i="100"/>
  <c r="AL51" i="100"/>
  <c r="AI51" i="100"/>
  <c r="AH51" i="100"/>
  <c r="AG51" i="100"/>
  <c r="AF51" i="100"/>
  <c r="U51" i="100"/>
  <c r="T51" i="100"/>
  <c r="L51" i="100"/>
  <c r="K51" i="100"/>
  <c r="J51" i="100"/>
  <c r="I51" i="100"/>
  <c r="A51" i="100"/>
  <c r="AL50" i="100"/>
  <c r="AI50" i="100"/>
  <c r="AH50" i="100"/>
  <c r="AG50" i="100"/>
  <c r="AF50" i="100"/>
  <c r="U50" i="100"/>
  <c r="T50" i="100"/>
  <c r="L50" i="100"/>
  <c r="K50" i="100"/>
  <c r="J50" i="100"/>
  <c r="I50" i="100"/>
  <c r="A50" i="100"/>
  <c r="AL49" i="100"/>
  <c r="AI49" i="100"/>
  <c r="AH49" i="100"/>
  <c r="AG49" i="100"/>
  <c r="AF49" i="100"/>
  <c r="U49" i="100"/>
  <c r="T49" i="100"/>
  <c r="L49" i="100"/>
  <c r="K49" i="100"/>
  <c r="J49" i="100"/>
  <c r="I49" i="100"/>
  <c r="A49" i="100"/>
  <c r="AL48" i="100"/>
  <c r="AI48" i="100"/>
  <c r="AH48" i="100"/>
  <c r="AG48" i="100"/>
  <c r="AF48" i="100"/>
  <c r="U48" i="100"/>
  <c r="T48" i="100"/>
  <c r="L48" i="100"/>
  <c r="K48" i="100"/>
  <c r="J48" i="100"/>
  <c r="I48" i="100"/>
  <c r="A48" i="100"/>
  <c r="AL47" i="100"/>
  <c r="AI47" i="100"/>
  <c r="AH47" i="100"/>
  <c r="AG47" i="100"/>
  <c r="AF47" i="100"/>
  <c r="U47" i="100"/>
  <c r="T47" i="100"/>
  <c r="L47" i="100"/>
  <c r="K47" i="100"/>
  <c r="J47" i="100"/>
  <c r="I47" i="100"/>
  <c r="A47" i="100"/>
  <c r="AL46" i="100"/>
  <c r="AI46" i="100"/>
  <c r="AH46" i="100"/>
  <c r="AG46" i="100"/>
  <c r="AF46" i="100"/>
  <c r="U46" i="100"/>
  <c r="T46" i="100"/>
  <c r="L46" i="100"/>
  <c r="K46" i="100"/>
  <c r="J46" i="100"/>
  <c r="I46" i="100"/>
  <c r="A46" i="100"/>
  <c r="AL45" i="100"/>
  <c r="AI45" i="100"/>
  <c r="AH45" i="100"/>
  <c r="AG45" i="100"/>
  <c r="AF45" i="100"/>
  <c r="U45" i="100"/>
  <c r="T45" i="100"/>
  <c r="L45" i="100"/>
  <c r="K45" i="100"/>
  <c r="J45" i="100"/>
  <c r="I45" i="100"/>
  <c r="A45" i="100"/>
  <c r="AL44" i="100"/>
  <c r="AI44" i="100"/>
  <c r="AH44" i="100"/>
  <c r="AG44" i="100"/>
  <c r="AF44" i="100"/>
  <c r="U44" i="100"/>
  <c r="T44" i="100"/>
  <c r="L44" i="100"/>
  <c r="K44" i="100"/>
  <c r="J44" i="100"/>
  <c r="I44" i="100"/>
  <c r="A44" i="100"/>
  <c r="AL43" i="100"/>
  <c r="AI43" i="100"/>
  <c r="AH43" i="100"/>
  <c r="AG43" i="100"/>
  <c r="AF43" i="100"/>
  <c r="U43" i="100"/>
  <c r="T43" i="100"/>
  <c r="L43" i="100"/>
  <c r="K43" i="100"/>
  <c r="J43" i="100"/>
  <c r="I43" i="100"/>
  <c r="A43" i="100"/>
  <c r="AL42" i="100"/>
  <c r="AI42" i="100"/>
  <c r="AH42" i="100"/>
  <c r="AG42" i="100"/>
  <c r="AF42" i="100"/>
  <c r="U42" i="100"/>
  <c r="T42" i="100"/>
  <c r="L42" i="100"/>
  <c r="K42" i="100"/>
  <c r="J42" i="100"/>
  <c r="I42" i="100"/>
  <c r="A42" i="100"/>
  <c r="AL41" i="100"/>
  <c r="AI41" i="100"/>
  <c r="AH41" i="100"/>
  <c r="AG41" i="100"/>
  <c r="AF41" i="100"/>
  <c r="U41" i="100"/>
  <c r="T41" i="100"/>
  <c r="L41" i="100"/>
  <c r="K41" i="100"/>
  <c r="J41" i="100"/>
  <c r="I41" i="100"/>
  <c r="A41" i="100"/>
  <c r="AL40" i="100"/>
  <c r="AI40" i="100"/>
  <c r="AH40" i="100"/>
  <c r="AG40" i="100"/>
  <c r="AF40" i="100"/>
  <c r="U40" i="100"/>
  <c r="T40" i="100"/>
  <c r="L40" i="100"/>
  <c r="K40" i="100"/>
  <c r="J40" i="100"/>
  <c r="I40" i="100"/>
  <c r="A40" i="100"/>
  <c r="AL39" i="100"/>
  <c r="AI39" i="100"/>
  <c r="AH39" i="100"/>
  <c r="AG39" i="100"/>
  <c r="AF39" i="100"/>
  <c r="U39" i="100"/>
  <c r="T39" i="100"/>
  <c r="L39" i="100"/>
  <c r="K39" i="100"/>
  <c r="J39" i="100"/>
  <c r="I39" i="100"/>
  <c r="A39" i="100"/>
  <c r="AL38" i="100"/>
  <c r="AI38" i="100"/>
  <c r="AH38" i="100"/>
  <c r="AG38" i="100"/>
  <c r="AF38" i="100"/>
  <c r="U38" i="100"/>
  <c r="T38" i="100"/>
  <c r="L38" i="100"/>
  <c r="K38" i="100"/>
  <c r="J38" i="100"/>
  <c r="I38" i="100"/>
  <c r="A38" i="100"/>
  <c r="AL37" i="100"/>
  <c r="AI37" i="100"/>
  <c r="AH37" i="100"/>
  <c r="AG37" i="100"/>
  <c r="AF37" i="100"/>
  <c r="U37" i="100"/>
  <c r="T37" i="100"/>
  <c r="L37" i="100"/>
  <c r="K37" i="100"/>
  <c r="J37" i="100"/>
  <c r="I37" i="100"/>
  <c r="A37" i="100"/>
  <c r="AL36" i="100"/>
  <c r="AI36" i="100"/>
  <c r="AH36" i="100"/>
  <c r="AG36" i="100"/>
  <c r="AF36" i="100"/>
  <c r="U36" i="100"/>
  <c r="T36" i="100"/>
  <c r="L36" i="100"/>
  <c r="K36" i="100"/>
  <c r="J36" i="100"/>
  <c r="I36" i="100"/>
  <c r="A36" i="100"/>
  <c r="AL35" i="100"/>
  <c r="AI35" i="100"/>
  <c r="AH35" i="100"/>
  <c r="AG35" i="100"/>
  <c r="AF35" i="100"/>
  <c r="U35" i="100"/>
  <c r="T35" i="100"/>
  <c r="L35" i="100"/>
  <c r="K35" i="100"/>
  <c r="J35" i="100"/>
  <c r="I35" i="100"/>
  <c r="A35" i="100"/>
  <c r="AL34" i="100"/>
  <c r="AI34" i="100"/>
  <c r="AH34" i="100"/>
  <c r="AG34" i="100"/>
  <c r="AF34" i="100"/>
  <c r="U34" i="100"/>
  <c r="T34" i="100"/>
  <c r="L34" i="100"/>
  <c r="K34" i="100"/>
  <c r="J34" i="100"/>
  <c r="I34" i="100"/>
  <c r="A34" i="100"/>
  <c r="AL33" i="100"/>
  <c r="AI33" i="100"/>
  <c r="AH33" i="100"/>
  <c r="AG33" i="100"/>
  <c r="AF33" i="100"/>
  <c r="U33" i="100"/>
  <c r="T33" i="100"/>
  <c r="L33" i="100"/>
  <c r="K33" i="100"/>
  <c r="J33" i="100"/>
  <c r="I33" i="100"/>
  <c r="A33" i="100"/>
  <c r="AL32" i="100"/>
  <c r="AI32" i="100"/>
  <c r="AH32" i="100"/>
  <c r="AG32" i="100"/>
  <c r="AF32" i="100"/>
  <c r="U32" i="100"/>
  <c r="T32" i="100"/>
  <c r="L32" i="100"/>
  <c r="K32" i="100"/>
  <c r="J32" i="100"/>
  <c r="I32" i="100"/>
  <c r="A32" i="100"/>
  <c r="AL31" i="100"/>
  <c r="AI31" i="100"/>
  <c r="AH31" i="100"/>
  <c r="AG31" i="100"/>
  <c r="AF31" i="100"/>
  <c r="U31" i="100"/>
  <c r="T31" i="100"/>
  <c r="L31" i="100"/>
  <c r="K31" i="100"/>
  <c r="J31" i="100"/>
  <c r="I31" i="100"/>
  <c r="A31" i="100"/>
  <c r="AL30" i="100"/>
  <c r="AI30" i="100"/>
  <c r="AH30" i="100"/>
  <c r="AG30" i="100"/>
  <c r="AF30" i="100"/>
  <c r="U30" i="100"/>
  <c r="T30" i="100"/>
  <c r="L30" i="100"/>
  <c r="K30" i="100"/>
  <c r="J30" i="100"/>
  <c r="I30" i="100"/>
  <c r="A30" i="100"/>
  <c r="AL29" i="100"/>
  <c r="AI29" i="100"/>
  <c r="AH29" i="100"/>
  <c r="AG29" i="100"/>
  <c r="AF29" i="100"/>
  <c r="U29" i="100"/>
  <c r="T29" i="100"/>
  <c r="L29" i="100"/>
  <c r="K29" i="100"/>
  <c r="J29" i="100"/>
  <c r="I29" i="100"/>
  <c r="A29" i="100"/>
  <c r="AL28" i="100"/>
  <c r="AI28" i="100"/>
  <c r="AH28" i="100"/>
  <c r="AG28" i="100"/>
  <c r="AF28" i="100"/>
  <c r="U28" i="100"/>
  <c r="T28" i="100"/>
  <c r="L28" i="100"/>
  <c r="K28" i="100"/>
  <c r="J28" i="100"/>
  <c r="I28" i="100"/>
  <c r="A28" i="100"/>
  <c r="AL27" i="100"/>
  <c r="AI27" i="100"/>
  <c r="AH27" i="100"/>
  <c r="AG27" i="100"/>
  <c r="AF27" i="100"/>
  <c r="U27" i="100"/>
  <c r="T27" i="100"/>
  <c r="L27" i="100"/>
  <c r="K27" i="100"/>
  <c r="J27" i="100"/>
  <c r="I27" i="100"/>
  <c r="A27" i="100"/>
  <c r="AL26" i="100"/>
  <c r="AI26" i="100"/>
  <c r="AH26" i="100"/>
  <c r="AG26" i="100"/>
  <c r="AF26" i="100"/>
  <c r="U26" i="100"/>
  <c r="T26" i="100"/>
  <c r="L26" i="100"/>
  <c r="K26" i="100"/>
  <c r="J26" i="100"/>
  <c r="I26" i="100"/>
  <c r="A26" i="100"/>
  <c r="AL25" i="100"/>
  <c r="AI25" i="100"/>
  <c r="AH25" i="100"/>
  <c r="AG25" i="100"/>
  <c r="AF25" i="100"/>
  <c r="U25" i="100"/>
  <c r="T25" i="100"/>
  <c r="L25" i="100"/>
  <c r="K25" i="100"/>
  <c r="J25" i="100"/>
  <c r="I25" i="100"/>
  <c r="A25" i="100"/>
  <c r="AL24" i="100"/>
  <c r="AI24" i="100"/>
  <c r="AH24" i="100"/>
  <c r="AG24" i="100"/>
  <c r="AF24" i="100"/>
  <c r="U24" i="100"/>
  <c r="T24" i="100"/>
  <c r="L24" i="100"/>
  <c r="K24" i="100"/>
  <c r="J24" i="100"/>
  <c r="I24" i="100"/>
  <c r="A24" i="100"/>
  <c r="AL23" i="100"/>
  <c r="AI23" i="100"/>
  <c r="AH23" i="100"/>
  <c r="AG23" i="100"/>
  <c r="AF23" i="100"/>
  <c r="U23" i="100"/>
  <c r="T23" i="100"/>
  <c r="L23" i="100"/>
  <c r="K23" i="100"/>
  <c r="J23" i="100"/>
  <c r="I23" i="100"/>
  <c r="A23" i="100"/>
  <c r="AL22" i="100"/>
  <c r="AI22" i="100"/>
  <c r="AH22" i="100"/>
  <c r="AG22" i="100"/>
  <c r="AF22" i="100"/>
  <c r="U22" i="100"/>
  <c r="T22" i="100"/>
  <c r="L22" i="100"/>
  <c r="K22" i="100"/>
  <c r="J22" i="100"/>
  <c r="I22" i="100"/>
  <c r="A22" i="100"/>
  <c r="AL21" i="100"/>
  <c r="AI21" i="100"/>
  <c r="AH21" i="100"/>
  <c r="AG21" i="100"/>
  <c r="AF21" i="100"/>
  <c r="U21" i="100"/>
  <c r="T21" i="100"/>
  <c r="L21" i="100"/>
  <c r="K21" i="100"/>
  <c r="J21" i="100"/>
  <c r="I21" i="100"/>
  <c r="A21" i="100"/>
  <c r="AL20" i="100"/>
  <c r="AI20" i="100"/>
  <c r="AH20" i="100"/>
  <c r="AG20" i="100"/>
  <c r="AF20" i="100"/>
  <c r="U20" i="100"/>
  <c r="T20" i="100"/>
  <c r="L20" i="100"/>
  <c r="K20" i="100"/>
  <c r="J20" i="100"/>
  <c r="I20" i="100"/>
  <c r="A20" i="100"/>
  <c r="AL19" i="100"/>
  <c r="AI19" i="100"/>
  <c r="AH19" i="100"/>
  <c r="AG19" i="100"/>
  <c r="AF19" i="100"/>
  <c r="U19" i="100"/>
  <c r="T19" i="100"/>
  <c r="L19" i="100"/>
  <c r="K19" i="100"/>
  <c r="J19" i="100"/>
  <c r="I19" i="100"/>
  <c r="A19" i="100"/>
  <c r="AL18" i="100"/>
  <c r="AI18" i="100"/>
  <c r="AH18" i="100"/>
  <c r="AG18" i="100"/>
  <c r="AF18" i="100"/>
  <c r="U18" i="100"/>
  <c r="T18" i="100"/>
  <c r="L18" i="100"/>
  <c r="K18" i="100"/>
  <c r="J18" i="100"/>
  <c r="I18" i="100"/>
  <c r="A18" i="100"/>
  <c r="AL17" i="100"/>
  <c r="AI17" i="100"/>
  <c r="AH17" i="100"/>
  <c r="AG17" i="100"/>
  <c r="AF17" i="100"/>
  <c r="U17" i="100"/>
  <c r="T17" i="100"/>
  <c r="L17" i="100"/>
  <c r="K17" i="100"/>
  <c r="J17" i="100"/>
  <c r="I17" i="100"/>
  <c r="A17" i="100"/>
  <c r="AL16" i="100"/>
  <c r="AI16" i="100"/>
  <c r="AH16" i="100"/>
  <c r="AG16" i="100"/>
  <c r="AF16" i="100"/>
  <c r="U16" i="100"/>
  <c r="T16" i="100"/>
  <c r="L16" i="100"/>
  <c r="K16" i="100"/>
  <c r="J16" i="100"/>
  <c r="I16" i="100"/>
  <c r="AL15" i="100"/>
  <c r="AI15" i="100"/>
  <c r="AH15" i="100"/>
  <c r="AG15" i="100"/>
  <c r="AF15" i="100"/>
  <c r="U15" i="100"/>
  <c r="T15" i="100"/>
  <c r="L15" i="100"/>
  <c r="K15" i="100"/>
  <c r="J15" i="100"/>
  <c r="I15" i="100"/>
  <c r="A15" i="100"/>
  <c r="AL14" i="100"/>
  <c r="L14" i="100"/>
  <c r="K14" i="100"/>
  <c r="J14" i="100"/>
  <c r="I14" i="100"/>
  <c r="AL13" i="100"/>
  <c r="L13" i="100"/>
  <c r="K13" i="100"/>
  <c r="J13" i="100"/>
  <c r="I13" i="100"/>
  <c r="AL12" i="100"/>
  <c r="L12" i="100"/>
  <c r="K12" i="100"/>
  <c r="J12" i="100"/>
  <c r="I12" i="100"/>
  <c r="AL11" i="100"/>
  <c r="L11" i="100"/>
  <c r="K11" i="100"/>
  <c r="J11" i="100"/>
  <c r="I11" i="100"/>
  <c r="U10" i="100"/>
  <c r="L10" i="100"/>
  <c r="K10" i="100"/>
  <c r="J10" i="100"/>
  <c r="I10" i="100"/>
  <c r="A10" i="100"/>
  <c r="A11" i="100" s="1"/>
  <c r="A12" i="100" s="1"/>
  <c r="A13" i="100" s="1"/>
  <c r="A14" i="100" s="1"/>
  <c r="D4" i="100"/>
  <c r="AE35" i="115" l="1"/>
  <c r="J6" i="124"/>
  <c r="M6" i="123"/>
  <c r="M6" i="122"/>
  <c r="D15" i="124"/>
  <c r="E15" i="124" s="1"/>
  <c r="C11" i="125"/>
  <c r="C16" i="124"/>
  <c r="D16" i="124" s="1"/>
  <c r="H16" i="124"/>
  <c r="F17" i="124"/>
  <c r="AE21" i="115"/>
  <c r="AE31" i="115"/>
  <c r="AE30" i="115"/>
  <c r="AE23" i="115"/>
  <c r="AE22" i="115"/>
  <c r="AE32" i="115"/>
  <c r="AE18" i="115"/>
  <c r="AE17" i="115"/>
  <c r="AE27" i="115"/>
  <c r="AE44" i="115"/>
  <c r="AE19" i="115"/>
  <c r="AE16" i="115"/>
  <c r="AE36" i="115"/>
  <c r="AE26" i="115"/>
  <c r="AE28" i="115"/>
  <c r="AE24" i="115"/>
  <c r="AE25" i="115"/>
  <c r="AE39" i="115"/>
  <c r="AE40" i="115"/>
  <c r="AE38" i="115"/>
  <c r="AE37" i="115"/>
  <c r="AE42" i="115"/>
  <c r="AE41" i="115"/>
  <c r="AE43" i="115"/>
  <c r="AE29" i="115"/>
  <c r="AE34" i="115"/>
  <c r="AE33" i="115"/>
  <c r="AE20" i="115"/>
  <c r="H17" i="115"/>
  <c r="J16" i="115"/>
  <c r="K16" i="115" s="1"/>
  <c r="H19" i="122"/>
  <c r="J18" i="122"/>
  <c r="K18" i="122" s="1"/>
  <c r="AE15" i="115"/>
  <c r="M6" i="115"/>
  <c r="AG10" i="100"/>
  <c r="AF10" i="100"/>
  <c r="E10" i="115"/>
  <c r="AF11" i="100"/>
  <c r="AH11" i="100"/>
  <c r="AH12" i="100"/>
  <c r="AG12" i="100"/>
  <c r="AF12" i="100"/>
  <c r="AH10" i="100"/>
  <c r="AI10" i="100" s="1"/>
  <c r="AH14" i="100"/>
  <c r="AI14" i="100" s="1"/>
  <c r="AG14" i="100"/>
  <c r="AF14" i="100"/>
  <c r="AH13" i="100"/>
  <c r="AI13" i="100" s="1"/>
  <c r="AG13" i="100"/>
  <c r="AF13" i="100"/>
  <c r="F11" i="125" l="1"/>
  <c r="G11" i="125"/>
  <c r="E11" i="125"/>
  <c r="D11" i="125"/>
  <c r="C12" i="125"/>
  <c r="K6" i="124"/>
  <c r="N6" i="123"/>
  <c r="N6" i="122"/>
  <c r="O18" i="122" s="1"/>
  <c r="P18" i="122" s="1"/>
  <c r="I15" i="124"/>
  <c r="H11" i="125" s="1"/>
  <c r="G17" i="124"/>
  <c r="E16" i="124"/>
  <c r="S15" i="124"/>
  <c r="D16" i="115"/>
  <c r="I17" i="115"/>
  <c r="C17" i="115"/>
  <c r="C13" i="114" s="1"/>
  <c r="U43" i="115"/>
  <c r="V43" i="115" s="1"/>
  <c r="U37" i="115"/>
  <c r="V37" i="115" s="1"/>
  <c r="U25" i="115"/>
  <c r="V25" i="115" s="1"/>
  <c r="U22" i="115"/>
  <c r="V22" i="115" s="1"/>
  <c r="U42" i="115"/>
  <c r="V42" i="115" s="1"/>
  <c r="U31" i="115"/>
  <c r="V31" i="115" s="1"/>
  <c r="U16" i="115"/>
  <c r="V16" i="115" s="1"/>
  <c r="U40" i="115"/>
  <c r="V40" i="115" s="1"/>
  <c r="U38" i="115"/>
  <c r="V38" i="115" s="1"/>
  <c r="U24" i="115"/>
  <c r="V24" i="115" s="1"/>
  <c r="U19" i="115"/>
  <c r="V19" i="115" s="1"/>
  <c r="U36" i="115"/>
  <c r="V36" i="115" s="1"/>
  <c r="U33" i="115"/>
  <c r="V33" i="115" s="1"/>
  <c r="U29" i="115"/>
  <c r="V29" i="115" s="1"/>
  <c r="U26" i="115"/>
  <c r="V26" i="115" s="1"/>
  <c r="U21" i="115"/>
  <c r="V21" i="115" s="1"/>
  <c r="U18" i="115"/>
  <c r="V18" i="115" s="1"/>
  <c r="U17" i="115"/>
  <c r="V17" i="115" s="1"/>
  <c r="U27" i="115"/>
  <c r="V27" i="115" s="1"/>
  <c r="U34" i="115"/>
  <c r="V34" i="115" s="1"/>
  <c r="U44" i="115"/>
  <c r="V44" i="115" s="1"/>
  <c r="U41" i="115"/>
  <c r="V41" i="115" s="1"/>
  <c r="U35" i="115"/>
  <c r="V35" i="115" s="1"/>
  <c r="U32" i="115"/>
  <c r="V32" i="115" s="1"/>
  <c r="U30" i="115"/>
  <c r="V30" i="115" s="1"/>
  <c r="U28" i="115"/>
  <c r="V28" i="115" s="1"/>
  <c r="U23" i="115"/>
  <c r="V23" i="115" s="1"/>
  <c r="U20" i="115"/>
  <c r="V20" i="115" s="1"/>
  <c r="U39" i="115"/>
  <c r="V39" i="115" s="1"/>
  <c r="D18" i="122"/>
  <c r="W18" i="122"/>
  <c r="C19" i="122"/>
  <c r="I19" i="122"/>
  <c r="J6" i="115"/>
  <c r="L6" i="115"/>
  <c r="W15" i="115" s="1"/>
  <c r="U15" i="115"/>
  <c r="V15" i="115" s="1"/>
  <c r="AI11" i="100"/>
  <c r="K6" i="115"/>
  <c r="AI12" i="100"/>
  <c r="O35" i="123" l="1"/>
  <c r="P35" i="123" s="1"/>
  <c r="O36" i="123"/>
  <c r="P36" i="123" s="1"/>
  <c r="O37" i="123"/>
  <c r="P37" i="123" s="1"/>
  <c r="O38" i="123"/>
  <c r="P38" i="123" s="1"/>
  <c r="F18" i="122"/>
  <c r="D12" i="125"/>
  <c r="G12" i="125"/>
  <c r="F12" i="125"/>
  <c r="E12" i="125"/>
  <c r="O15" i="122"/>
  <c r="P15" i="122" s="1"/>
  <c r="E15" i="122" s="1"/>
  <c r="O16" i="122"/>
  <c r="P16" i="122" s="1"/>
  <c r="O17" i="122"/>
  <c r="P17" i="122" s="1"/>
  <c r="O15" i="123"/>
  <c r="P15" i="123" s="1"/>
  <c r="O16" i="123"/>
  <c r="P16" i="123" s="1"/>
  <c r="O17" i="123"/>
  <c r="P17" i="123" s="1"/>
  <c r="O18" i="123"/>
  <c r="P18" i="123" s="1"/>
  <c r="O19" i="123"/>
  <c r="P19" i="123" s="1"/>
  <c r="O20" i="123"/>
  <c r="P20" i="123" s="1"/>
  <c r="O21" i="123"/>
  <c r="P21" i="123" s="1"/>
  <c r="O22" i="123"/>
  <c r="P22" i="123" s="1"/>
  <c r="O23" i="123"/>
  <c r="P23" i="123" s="1"/>
  <c r="O24" i="123"/>
  <c r="P24" i="123" s="1"/>
  <c r="O25" i="123"/>
  <c r="P25" i="123" s="1"/>
  <c r="O26" i="123"/>
  <c r="P26" i="123" s="1"/>
  <c r="O27" i="123"/>
  <c r="P27" i="123" s="1"/>
  <c r="O28" i="123"/>
  <c r="P28" i="123" s="1"/>
  <c r="O29" i="123"/>
  <c r="P29" i="123" s="1"/>
  <c r="O30" i="123"/>
  <c r="P30" i="123" s="1"/>
  <c r="O31" i="123"/>
  <c r="P31" i="123" s="1"/>
  <c r="O32" i="123"/>
  <c r="P32" i="123" s="1"/>
  <c r="O33" i="123"/>
  <c r="P33" i="123" s="1"/>
  <c r="O34" i="123"/>
  <c r="P34" i="123" s="1"/>
  <c r="L15" i="124"/>
  <c r="M15" i="124" s="1"/>
  <c r="P15" i="124"/>
  <c r="J15" i="124"/>
  <c r="I11" i="125" s="1"/>
  <c r="I16" i="124"/>
  <c r="H12" i="125" s="1"/>
  <c r="R19" i="125" s="1"/>
  <c r="F18" i="124"/>
  <c r="C17" i="124"/>
  <c r="C13" i="125" s="1"/>
  <c r="H17" i="124"/>
  <c r="S17" i="124"/>
  <c r="S16" i="124"/>
  <c r="O15" i="115"/>
  <c r="P15" i="115" s="1"/>
  <c r="H18" i="115"/>
  <c r="J17" i="115"/>
  <c r="K17" i="115" s="1"/>
  <c r="O16" i="115"/>
  <c r="P16" i="115" s="1"/>
  <c r="W16" i="115"/>
  <c r="H20" i="122"/>
  <c r="J19" i="122"/>
  <c r="K19" i="122" s="1"/>
  <c r="E18" i="122"/>
  <c r="G13" i="125" l="1"/>
  <c r="F13" i="125"/>
  <c r="F17" i="122"/>
  <c r="E17" i="122"/>
  <c r="L17" i="122" s="1"/>
  <c r="F16" i="122"/>
  <c r="E16" i="122"/>
  <c r="F15" i="122"/>
  <c r="K15" i="124"/>
  <c r="J11" i="125" s="1"/>
  <c r="D17" i="124"/>
  <c r="D13" i="125" s="1"/>
  <c r="J16" i="124"/>
  <c r="I12" i="125" s="1"/>
  <c r="P16" i="124"/>
  <c r="L16" i="124"/>
  <c r="M16" i="124" s="1"/>
  <c r="G18" i="124"/>
  <c r="S18" i="124" s="1"/>
  <c r="W17" i="115"/>
  <c r="O17" i="115"/>
  <c r="P17" i="115" s="1"/>
  <c r="D17" i="115"/>
  <c r="I18" i="115"/>
  <c r="C18" i="115"/>
  <c r="C14" i="114" s="1"/>
  <c r="D19" i="122"/>
  <c r="W19" i="122"/>
  <c r="O19" i="122"/>
  <c r="P19" i="122" s="1"/>
  <c r="L18" i="122"/>
  <c r="I20" i="122"/>
  <c r="C20" i="122"/>
  <c r="L16" i="122" l="1"/>
  <c r="L15" i="122"/>
  <c r="Q16" i="122"/>
  <c r="R16" i="122" s="1"/>
  <c r="M16" i="122"/>
  <c r="N16" i="122" s="1"/>
  <c r="Q15" i="122"/>
  <c r="R15" i="122" s="1"/>
  <c r="M15" i="122"/>
  <c r="N15" i="122" s="1"/>
  <c r="M17" i="122"/>
  <c r="N17" i="122" s="1"/>
  <c r="Q17" i="122"/>
  <c r="R17" i="122" s="1"/>
  <c r="Y15" i="124"/>
  <c r="AN15" i="124"/>
  <c r="AA15" i="124"/>
  <c r="AM15" i="124"/>
  <c r="K16" i="124"/>
  <c r="H18" i="124"/>
  <c r="C18" i="124"/>
  <c r="F19" i="124"/>
  <c r="E17" i="124"/>
  <c r="E13" i="125" s="1"/>
  <c r="H19" i="115"/>
  <c r="J18" i="115"/>
  <c r="K18" i="115" s="1"/>
  <c r="E19" i="122"/>
  <c r="F19" i="122"/>
  <c r="H21" i="122"/>
  <c r="J20" i="122"/>
  <c r="K20" i="122" s="1"/>
  <c r="M18" i="122"/>
  <c r="N18" i="122" s="1"/>
  <c r="Q18" i="122"/>
  <c r="R18" i="122" s="1"/>
  <c r="F13" i="114"/>
  <c r="F12" i="114"/>
  <c r="G12" i="114"/>
  <c r="G13" i="114"/>
  <c r="G17" i="122" l="1"/>
  <c r="F17" i="123" s="1"/>
  <c r="E17" i="123"/>
  <c r="G15" i="122"/>
  <c r="F15" i="123" s="1"/>
  <c r="E15" i="123"/>
  <c r="G16" i="122"/>
  <c r="F16" i="123" s="1"/>
  <c r="E16" i="123"/>
  <c r="E18" i="123"/>
  <c r="G18" i="122"/>
  <c r="F18" i="123" s="1"/>
  <c r="Y16" i="124"/>
  <c r="J12" i="125"/>
  <c r="L17" i="123"/>
  <c r="S17" i="122"/>
  <c r="T17" i="122" s="1"/>
  <c r="AJ15" i="124"/>
  <c r="AB15" i="124"/>
  <c r="G19" i="124"/>
  <c r="I17" i="124"/>
  <c r="H13" i="125" s="1"/>
  <c r="C14" i="125"/>
  <c r="D18" i="124"/>
  <c r="AN16" i="124"/>
  <c r="AM16" i="124"/>
  <c r="AA16" i="124"/>
  <c r="W18" i="115"/>
  <c r="O18" i="115"/>
  <c r="P18" i="115" s="1"/>
  <c r="D18" i="115"/>
  <c r="I19" i="115"/>
  <c r="C19" i="115"/>
  <c r="C15" i="114" s="1"/>
  <c r="W20" i="122"/>
  <c r="O20" i="122"/>
  <c r="P20" i="122" s="1"/>
  <c r="D20" i="122"/>
  <c r="L19" i="122"/>
  <c r="I21" i="122"/>
  <c r="C21" i="122"/>
  <c r="F14" i="114"/>
  <c r="L15" i="123" l="1"/>
  <c r="L16" i="123"/>
  <c r="S16" i="122"/>
  <c r="T16" i="122" s="1"/>
  <c r="L18" i="123"/>
  <c r="S15" i="122"/>
  <c r="T15" i="122" s="1"/>
  <c r="Q18" i="123"/>
  <c r="R18" i="123" s="1"/>
  <c r="E18" i="115" s="1"/>
  <c r="M18" i="123"/>
  <c r="N18" i="123" s="1"/>
  <c r="S18" i="122"/>
  <c r="T18" i="122" s="1"/>
  <c r="F14" i="125"/>
  <c r="D14" i="125"/>
  <c r="G14" i="125"/>
  <c r="S19" i="124"/>
  <c r="Q16" i="123"/>
  <c r="R16" i="123" s="1"/>
  <c r="M16" i="123"/>
  <c r="N16" i="123" s="1"/>
  <c r="Q15" i="123"/>
  <c r="R15" i="123" s="1"/>
  <c r="M15" i="123"/>
  <c r="N15" i="123" s="1"/>
  <c r="Q17" i="123"/>
  <c r="R17" i="123" s="1"/>
  <c r="M17" i="123"/>
  <c r="N17" i="123" s="1"/>
  <c r="E18" i="124"/>
  <c r="E14" i="125" s="1"/>
  <c r="P17" i="124"/>
  <c r="J17" i="124"/>
  <c r="I13" i="125" s="1"/>
  <c r="L17" i="124"/>
  <c r="M17" i="124" s="1"/>
  <c r="AJ16" i="124"/>
  <c r="AB16" i="124"/>
  <c r="F20" i="124"/>
  <c r="C19" i="124"/>
  <c r="H19" i="124"/>
  <c r="H20" i="115"/>
  <c r="J19" i="115"/>
  <c r="K19" i="115" s="1"/>
  <c r="E20" i="122"/>
  <c r="F20" i="122"/>
  <c r="H22" i="122"/>
  <c r="J21" i="122"/>
  <c r="K21" i="122" s="1"/>
  <c r="Q19" i="122"/>
  <c r="R19" i="122" s="1"/>
  <c r="M19" i="122"/>
  <c r="N19" i="122" s="1"/>
  <c r="G14" i="114"/>
  <c r="G18" i="123" l="1"/>
  <c r="F18" i="115" s="1"/>
  <c r="E16" i="115"/>
  <c r="D12" i="114" s="1"/>
  <c r="G16" i="123"/>
  <c r="F16" i="115" s="1"/>
  <c r="E15" i="115"/>
  <c r="G15" i="123"/>
  <c r="F15" i="115" s="1"/>
  <c r="E17" i="115"/>
  <c r="D13" i="114" s="1"/>
  <c r="G17" i="123"/>
  <c r="F17" i="115" s="1"/>
  <c r="L17" i="115" s="1"/>
  <c r="D11" i="114"/>
  <c r="E19" i="123"/>
  <c r="G19" i="122"/>
  <c r="F19" i="123" s="1"/>
  <c r="S18" i="123"/>
  <c r="T18" i="123" s="1"/>
  <c r="L18" i="115"/>
  <c r="M18" i="115" s="1"/>
  <c r="N18" i="115" s="1"/>
  <c r="AF18" i="115" s="1"/>
  <c r="S15" i="123"/>
  <c r="T15" i="123" s="1"/>
  <c r="L16" i="115"/>
  <c r="K17" i="124"/>
  <c r="C15" i="125"/>
  <c r="D19" i="124"/>
  <c r="G20" i="124"/>
  <c r="I18" i="124"/>
  <c r="H14" i="125" s="1"/>
  <c r="I20" i="115"/>
  <c r="C20" i="115"/>
  <c r="C16" i="114" s="1"/>
  <c r="L20" i="122"/>
  <c r="O19" i="115"/>
  <c r="P19" i="115" s="1"/>
  <c r="W19" i="115"/>
  <c r="D19" i="115"/>
  <c r="W21" i="122"/>
  <c r="D21" i="122"/>
  <c r="O21" i="122"/>
  <c r="P21" i="122" s="1"/>
  <c r="C22" i="122"/>
  <c r="I22" i="122"/>
  <c r="D14" i="114"/>
  <c r="I34" i="17"/>
  <c r="I33" i="17"/>
  <c r="I32" i="17"/>
  <c r="I31" i="17"/>
  <c r="I30" i="17"/>
  <c r="I29" i="17"/>
  <c r="I28" i="17"/>
  <c r="I27" i="17"/>
  <c r="I26" i="17"/>
  <c r="I25" i="17"/>
  <c r="I24" i="17"/>
  <c r="I23" i="17"/>
  <c r="S19" i="122" l="1"/>
  <c r="T19" i="122" s="1"/>
  <c r="L15" i="115"/>
  <c r="M15" i="115" s="1"/>
  <c r="N15" i="115" s="1"/>
  <c r="S17" i="123"/>
  <c r="T17" i="123" s="1"/>
  <c r="S16" i="123"/>
  <c r="T16" i="123" s="1"/>
  <c r="Q18" i="115"/>
  <c r="R18" i="115" s="1"/>
  <c r="G18" i="115" s="1"/>
  <c r="S18" i="115" s="1"/>
  <c r="T18" i="115" s="1"/>
  <c r="L19" i="123"/>
  <c r="Q19" i="123"/>
  <c r="R19" i="123" s="1"/>
  <c r="E19" i="115" s="1"/>
  <c r="M19" i="123"/>
  <c r="N19" i="123" s="1"/>
  <c r="Y17" i="124"/>
  <c r="J13" i="125"/>
  <c r="G15" i="125"/>
  <c r="F15" i="125"/>
  <c r="D15" i="125"/>
  <c r="M16" i="115"/>
  <c r="Q16" i="115"/>
  <c r="R16" i="115" s="1"/>
  <c r="H12" i="114"/>
  <c r="Q17" i="115"/>
  <c r="R17" i="115" s="1"/>
  <c r="M17" i="115"/>
  <c r="H13" i="114"/>
  <c r="E19" i="124"/>
  <c r="E15" i="125" s="1"/>
  <c r="L18" i="124"/>
  <c r="M18" i="124" s="1"/>
  <c r="J18" i="124"/>
  <c r="I14" i="125" s="1"/>
  <c r="P18" i="124"/>
  <c r="AM17" i="124"/>
  <c r="AN17" i="124"/>
  <c r="AA17" i="124"/>
  <c r="F21" i="124"/>
  <c r="C20" i="124"/>
  <c r="H20" i="124"/>
  <c r="S20" i="124"/>
  <c r="AU18" i="115"/>
  <c r="AH18" i="115"/>
  <c r="AI18" i="115" s="1"/>
  <c r="AT18" i="115"/>
  <c r="H21" i="115"/>
  <c r="J20" i="115"/>
  <c r="K20" i="115" s="1"/>
  <c r="F21" i="122"/>
  <c r="E21" i="122"/>
  <c r="Q20" i="122"/>
  <c r="R20" i="122" s="1"/>
  <c r="M20" i="122"/>
  <c r="N20" i="122" s="1"/>
  <c r="H23" i="122"/>
  <c r="J22" i="122"/>
  <c r="K22" i="122" s="1"/>
  <c r="F15" i="114"/>
  <c r="H14" i="114"/>
  <c r="G15" i="114"/>
  <c r="K14" i="114" l="1"/>
  <c r="G19" i="123"/>
  <c r="F19" i="115" s="1"/>
  <c r="G20" i="122"/>
  <c r="E20" i="123"/>
  <c r="S19" i="123"/>
  <c r="T19" i="123" s="1"/>
  <c r="K13" i="114"/>
  <c r="G17" i="115"/>
  <c r="K12" i="114"/>
  <c r="G16" i="115"/>
  <c r="L19" i="115"/>
  <c r="M19" i="115" s="1"/>
  <c r="N19" i="115" s="1"/>
  <c r="N17" i="115"/>
  <c r="I13" i="114"/>
  <c r="N16" i="115"/>
  <c r="I12" i="114"/>
  <c r="D20" i="124"/>
  <c r="C16" i="125"/>
  <c r="G21" i="124"/>
  <c r="K18" i="124"/>
  <c r="AJ17" i="124"/>
  <c r="AB17" i="124"/>
  <c r="I19" i="124"/>
  <c r="H15" i="125" s="1"/>
  <c r="Z18" i="115"/>
  <c r="D15" i="114"/>
  <c r="I21" i="115"/>
  <c r="C21" i="115"/>
  <c r="C17" i="114" s="1"/>
  <c r="W20" i="115"/>
  <c r="O20" i="115"/>
  <c r="P20" i="115" s="1"/>
  <c r="D20" i="115"/>
  <c r="AQ18" i="115"/>
  <c r="L21" i="122"/>
  <c r="Q21" i="122" s="1"/>
  <c r="R21" i="122" s="1"/>
  <c r="S20" i="122"/>
  <c r="T20" i="122" s="1"/>
  <c r="C23" i="122"/>
  <c r="I23" i="122"/>
  <c r="W22" i="122"/>
  <c r="O22" i="122"/>
  <c r="P22" i="122" s="1"/>
  <c r="D22" i="122"/>
  <c r="F16" i="114"/>
  <c r="G16" i="114"/>
  <c r="I14" i="114"/>
  <c r="J14" i="114"/>
  <c r="E14" i="114"/>
  <c r="K10" i="30"/>
  <c r="K9" i="30"/>
  <c r="K8" i="30"/>
  <c r="K7" i="30"/>
  <c r="K6" i="30"/>
  <c r="G21" i="122" l="1"/>
  <c r="E21" i="123"/>
  <c r="Q19" i="115"/>
  <c r="R19" i="115" s="1"/>
  <c r="K15" i="114" s="1"/>
  <c r="F20" i="123"/>
  <c r="L20" i="123" s="1"/>
  <c r="G19" i="115"/>
  <c r="S19" i="115" s="1"/>
  <c r="T19" i="115" s="1"/>
  <c r="D16" i="125"/>
  <c r="G16" i="125"/>
  <c r="F16" i="125"/>
  <c r="Y18" i="124"/>
  <c r="J14" i="125"/>
  <c r="AF16" i="115"/>
  <c r="AT16" i="115"/>
  <c r="AU16" i="115"/>
  <c r="AH16" i="115"/>
  <c r="AI16" i="115" s="1"/>
  <c r="J12" i="114"/>
  <c r="S16" i="115"/>
  <c r="T16" i="115" s="1"/>
  <c r="Z16" i="115" s="1"/>
  <c r="E12" i="114"/>
  <c r="S17" i="115"/>
  <c r="T17" i="115" s="1"/>
  <c r="Z17" i="115" s="1"/>
  <c r="E13" i="114"/>
  <c r="AF17" i="115"/>
  <c r="AH17" i="115"/>
  <c r="AI17" i="115" s="1"/>
  <c r="AU17" i="115"/>
  <c r="AT17" i="115"/>
  <c r="J13" i="114"/>
  <c r="AA18" i="124"/>
  <c r="AM18" i="124"/>
  <c r="AN18" i="124"/>
  <c r="P19" i="124"/>
  <c r="J19" i="124"/>
  <c r="I15" i="125" s="1"/>
  <c r="L19" i="124"/>
  <c r="M19" i="124" s="1"/>
  <c r="F22" i="124"/>
  <c r="C21" i="124"/>
  <c r="H21" i="124"/>
  <c r="S21" i="124"/>
  <c r="E20" i="124"/>
  <c r="E16" i="125" s="1"/>
  <c r="M21" i="122"/>
  <c r="N21" i="122" s="1"/>
  <c r="H22" i="115"/>
  <c r="J21" i="115"/>
  <c r="K21" i="115" s="1"/>
  <c r="AH19" i="115"/>
  <c r="AI19" i="115" s="1"/>
  <c r="AU19" i="115"/>
  <c r="AT19" i="115"/>
  <c r="AF19" i="115"/>
  <c r="H15" i="114"/>
  <c r="S21" i="122"/>
  <c r="T21" i="122" s="1"/>
  <c r="H24" i="122"/>
  <c r="J23" i="122"/>
  <c r="K23" i="122" s="1"/>
  <c r="F22" i="122"/>
  <c r="E22" i="122"/>
  <c r="M20" i="123" l="1"/>
  <c r="N20" i="123" s="1"/>
  <c r="Q20" i="123"/>
  <c r="R20" i="123" s="1"/>
  <c r="F21" i="123"/>
  <c r="L21" i="123" s="1"/>
  <c r="AQ16" i="115"/>
  <c r="AQ17" i="115"/>
  <c r="D21" i="124"/>
  <c r="C17" i="125"/>
  <c r="I20" i="124"/>
  <c r="H16" i="125" s="1"/>
  <c r="AJ18" i="124"/>
  <c r="AB18" i="124"/>
  <c r="G22" i="124"/>
  <c r="K19" i="124"/>
  <c r="J15" i="125" s="1"/>
  <c r="Z19" i="115"/>
  <c r="E15" i="114"/>
  <c r="AQ19" i="115"/>
  <c r="O21" i="115"/>
  <c r="P21" i="115" s="1"/>
  <c r="W21" i="115"/>
  <c r="D21" i="115"/>
  <c r="I22" i="115"/>
  <c r="C22" i="115"/>
  <c r="C18" i="114" s="1"/>
  <c r="I15" i="114"/>
  <c r="J15" i="114"/>
  <c r="D23" i="122"/>
  <c r="W23" i="122"/>
  <c r="O23" i="122"/>
  <c r="P23" i="122" s="1"/>
  <c r="C24" i="122"/>
  <c r="I24" i="122"/>
  <c r="L22" i="122"/>
  <c r="I2" i="3"/>
  <c r="Q21" i="123" l="1"/>
  <c r="R21" i="123" s="1"/>
  <c r="M21" i="123"/>
  <c r="N21" i="123" s="1"/>
  <c r="E20" i="115"/>
  <c r="G20" i="123"/>
  <c r="G17" i="125"/>
  <c r="F17" i="125"/>
  <c r="D17" i="125"/>
  <c r="P20" i="124"/>
  <c r="J20" i="124"/>
  <c r="I16" i="125" s="1"/>
  <c r="L20" i="124"/>
  <c r="M20" i="124" s="1"/>
  <c r="AM19" i="124"/>
  <c r="AA19" i="124"/>
  <c r="Y19" i="124"/>
  <c r="AN19" i="124"/>
  <c r="F23" i="124"/>
  <c r="C22" i="124"/>
  <c r="H22" i="124"/>
  <c r="S22" i="124"/>
  <c r="E21" i="124"/>
  <c r="E17" i="125" s="1"/>
  <c r="H23" i="115"/>
  <c r="J22" i="115"/>
  <c r="K22" i="115" s="1"/>
  <c r="M22" i="122"/>
  <c r="N22" i="122" s="1"/>
  <c r="Q22" i="122"/>
  <c r="R22" i="122" s="1"/>
  <c r="H25" i="122"/>
  <c r="J24" i="122"/>
  <c r="K24" i="122" s="1"/>
  <c r="F23" i="122"/>
  <c r="E23" i="122"/>
  <c r="F17" i="114"/>
  <c r="G17" i="114"/>
  <c r="I7" i="17"/>
  <c r="G57" i="3"/>
  <c r="G56" i="3"/>
  <c r="G55" i="3"/>
  <c r="G54" i="3"/>
  <c r="G53" i="3"/>
  <c r="G52" i="3"/>
  <c r="G51" i="3"/>
  <c r="G50" i="3"/>
  <c r="G49" i="3"/>
  <c r="G48" i="3"/>
  <c r="G47" i="3"/>
  <c r="G46" i="3"/>
  <c r="G45" i="3"/>
  <c r="G44" i="3"/>
  <c r="G43" i="3"/>
  <c r="G42" i="3"/>
  <c r="G41" i="3"/>
  <c r="G40" i="3"/>
  <c r="G39" i="3"/>
  <c r="G38" i="3"/>
  <c r="G37" i="3"/>
  <c r="G36" i="3"/>
  <c r="G35" i="3"/>
  <c r="G34" i="3"/>
  <c r="G33" i="3"/>
  <c r="G32" i="3"/>
  <c r="G31" i="3"/>
  <c r="G30" i="3"/>
  <c r="G29" i="3"/>
  <c r="G28" i="3"/>
  <c r="G27" i="3"/>
  <c r="G26" i="3"/>
  <c r="G25" i="3"/>
  <c r="G24" i="3"/>
  <c r="G23" i="3"/>
  <c r="G22" i="3"/>
  <c r="G21" i="3"/>
  <c r="G20" i="3"/>
  <c r="G19" i="3"/>
  <c r="G18" i="3"/>
  <c r="G17" i="3"/>
  <c r="G16" i="3"/>
  <c r="G15" i="3"/>
  <c r="G14" i="3"/>
  <c r="G13" i="3"/>
  <c r="G12" i="3"/>
  <c r="G11" i="3"/>
  <c r="F20" i="115" l="1"/>
  <c r="S20" i="123"/>
  <c r="T20" i="123" s="1"/>
  <c r="D16" i="114"/>
  <c r="L20" i="115"/>
  <c r="G22" i="122"/>
  <c r="S22" i="122" s="1"/>
  <c r="T22" i="122" s="1"/>
  <c r="E22" i="123"/>
  <c r="E21" i="115"/>
  <c r="G21" i="123"/>
  <c r="V6" i="124"/>
  <c r="V7" i="124" s="1"/>
  <c r="AC6" i="115"/>
  <c r="AC7" i="115" s="1"/>
  <c r="G23" i="124"/>
  <c r="K20" i="124"/>
  <c r="J16" i="125" s="1"/>
  <c r="I21" i="124"/>
  <c r="H17" i="125" s="1"/>
  <c r="AB19" i="124"/>
  <c r="AJ19" i="124"/>
  <c r="D22" i="124"/>
  <c r="C18" i="125"/>
  <c r="W22" i="115"/>
  <c r="O22" i="115"/>
  <c r="P22" i="115" s="1"/>
  <c r="D22" i="115"/>
  <c r="I23" i="115"/>
  <c r="C23" i="115"/>
  <c r="C19" i="114" s="1"/>
  <c r="F18" i="114"/>
  <c r="L23" i="122"/>
  <c r="M23" i="122" s="1"/>
  <c r="N23" i="122" s="1"/>
  <c r="D24" i="122"/>
  <c r="W24" i="122"/>
  <c r="O24" i="122"/>
  <c r="P24" i="122" s="1"/>
  <c r="I25" i="122"/>
  <c r="C25" i="122"/>
  <c r="F21" i="115" l="1"/>
  <c r="S21" i="123"/>
  <c r="T21" i="123" s="1"/>
  <c r="L21" i="115"/>
  <c r="H17" i="114" s="1"/>
  <c r="F22" i="123"/>
  <c r="L22" i="123" s="1"/>
  <c r="D17" i="114"/>
  <c r="H16" i="114"/>
  <c r="M20" i="115"/>
  <c r="Q20" i="115"/>
  <c r="R20" i="115" s="1"/>
  <c r="G18" i="125"/>
  <c r="F18" i="125"/>
  <c r="D18" i="125"/>
  <c r="AA20" i="124"/>
  <c r="AN20" i="124"/>
  <c r="AM20" i="124"/>
  <c r="Y20" i="124"/>
  <c r="E22" i="124"/>
  <c r="E18" i="125" s="1"/>
  <c r="F24" i="124"/>
  <c r="C23" i="124"/>
  <c r="H23" i="124"/>
  <c r="S23" i="124"/>
  <c r="P21" i="124"/>
  <c r="J21" i="124"/>
  <c r="I17" i="125" s="1"/>
  <c r="L21" i="124"/>
  <c r="M21" i="124" s="1"/>
  <c r="H24" i="115"/>
  <c r="J23" i="115"/>
  <c r="K23" i="115" s="1"/>
  <c r="G18" i="114"/>
  <c r="Q23" i="122"/>
  <c r="R23" i="122" s="1"/>
  <c r="E24" i="122"/>
  <c r="F24" i="122"/>
  <c r="H26" i="122"/>
  <c r="J25" i="122"/>
  <c r="K25" i="122" s="1"/>
  <c r="M22" i="123" l="1"/>
  <c r="N22" i="123" s="1"/>
  <c r="Q22" i="123"/>
  <c r="R22" i="123" s="1"/>
  <c r="N20" i="115"/>
  <c r="I16" i="114"/>
  <c r="Q21" i="115"/>
  <c r="R21" i="115" s="1"/>
  <c r="M21" i="115"/>
  <c r="N21" i="115" s="1"/>
  <c r="J17" i="114" s="1"/>
  <c r="G23" i="122"/>
  <c r="E23" i="123"/>
  <c r="K16" i="114"/>
  <c r="G20" i="115"/>
  <c r="K21" i="124"/>
  <c r="J17" i="125" s="1"/>
  <c r="C19" i="125"/>
  <c r="D23" i="124"/>
  <c r="AB20" i="124"/>
  <c r="AJ20" i="124"/>
  <c r="I22" i="124"/>
  <c r="H18" i="125" s="1"/>
  <c r="G24" i="124"/>
  <c r="I24" i="115"/>
  <c r="C24" i="115"/>
  <c r="C20" i="114" s="1"/>
  <c r="W23" i="115"/>
  <c r="O23" i="115"/>
  <c r="P23" i="115" s="1"/>
  <c r="D23" i="115"/>
  <c r="L24" i="122"/>
  <c r="Q24" i="122" s="1"/>
  <c r="R24" i="122" s="1"/>
  <c r="W25" i="122"/>
  <c r="O25" i="122"/>
  <c r="P25" i="122" s="1"/>
  <c r="D25" i="122"/>
  <c r="C26" i="122"/>
  <c r="I26" i="122"/>
  <c r="F19" i="114"/>
  <c r="G19" i="114"/>
  <c r="I17" i="114" l="1"/>
  <c r="F23" i="123"/>
  <c r="L23" i="123" s="1"/>
  <c r="AF21" i="115"/>
  <c r="AT21" i="115"/>
  <c r="AU21" i="115"/>
  <c r="AH21" i="115"/>
  <c r="AI21" i="115" s="1"/>
  <c r="S23" i="122"/>
  <c r="T23" i="122" s="1"/>
  <c r="K17" i="114"/>
  <c r="G21" i="115"/>
  <c r="J16" i="114"/>
  <c r="AF20" i="115"/>
  <c r="AU20" i="115"/>
  <c r="AH20" i="115"/>
  <c r="AI20" i="115" s="1"/>
  <c r="AT20" i="115"/>
  <c r="S20" i="115"/>
  <c r="T20" i="115" s="1"/>
  <c r="Z20" i="115" s="1"/>
  <c r="E16" i="114"/>
  <c r="E22" i="115"/>
  <c r="G22" i="123"/>
  <c r="G24" i="122"/>
  <c r="S24" i="122" s="1"/>
  <c r="T24" i="122" s="1"/>
  <c r="E24" i="123"/>
  <c r="F19" i="125"/>
  <c r="D19" i="125"/>
  <c r="G19" i="125"/>
  <c r="E23" i="124"/>
  <c r="I23" i="124" s="1"/>
  <c r="H19" i="125" s="1"/>
  <c r="J22" i="124"/>
  <c r="I18" i="125" s="1"/>
  <c r="L22" i="124"/>
  <c r="M22" i="124" s="1"/>
  <c r="P22" i="124"/>
  <c r="H24" i="124"/>
  <c r="F25" i="124"/>
  <c r="C24" i="124"/>
  <c r="S24" i="124"/>
  <c r="AN21" i="124"/>
  <c r="AM21" i="124"/>
  <c r="AA21" i="124"/>
  <c r="Y21" i="124"/>
  <c r="H25" i="115"/>
  <c r="J24" i="115"/>
  <c r="K24" i="115" s="1"/>
  <c r="M24" i="122"/>
  <c r="N24" i="122" s="1"/>
  <c r="H27" i="122"/>
  <c r="J26" i="122"/>
  <c r="K26" i="122" s="1"/>
  <c r="F25" i="122"/>
  <c r="E25" i="122"/>
  <c r="L4" i="3"/>
  <c r="K4" i="3"/>
  <c r="K8" i="3" s="1"/>
  <c r="I4" i="3"/>
  <c r="M23" i="123" l="1"/>
  <c r="N23" i="123" s="1"/>
  <c r="Q23" i="123"/>
  <c r="R23" i="123" s="1"/>
  <c r="AQ21" i="115"/>
  <c r="AQ20" i="115"/>
  <c r="F24" i="123"/>
  <c r="L24" i="123" s="1"/>
  <c r="F22" i="115"/>
  <c r="L22" i="115" s="1"/>
  <c r="S22" i="123"/>
  <c r="T22" i="123" s="1"/>
  <c r="D18" i="114"/>
  <c r="S21" i="115"/>
  <c r="T21" i="115" s="1"/>
  <c r="Z21" i="115" s="1"/>
  <c r="E17" i="114"/>
  <c r="E19" i="125"/>
  <c r="AJ21" i="124"/>
  <c r="AB21" i="124"/>
  <c r="D24" i="124"/>
  <c r="C20" i="125"/>
  <c r="G25" i="124"/>
  <c r="P23" i="124"/>
  <c r="J23" i="124"/>
  <c r="I19" i="125" s="1"/>
  <c r="L23" i="124"/>
  <c r="M23" i="124" s="1"/>
  <c r="K22" i="124"/>
  <c r="J18" i="125" s="1"/>
  <c r="W24" i="115"/>
  <c r="O24" i="115"/>
  <c r="P24" i="115" s="1"/>
  <c r="D24" i="115"/>
  <c r="I25" i="115"/>
  <c r="C25" i="115"/>
  <c r="C21" i="114" s="1"/>
  <c r="L25" i="122"/>
  <c r="Q25" i="122" s="1"/>
  <c r="R25" i="122" s="1"/>
  <c r="W26" i="122"/>
  <c r="O26" i="122"/>
  <c r="P26" i="122" s="1"/>
  <c r="D26" i="122"/>
  <c r="C27" i="122"/>
  <c r="I27" i="122"/>
  <c r="F20" i="114"/>
  <c r="G20" i="114"/>
  <c r="I54" i="3"/>
  <c r="I51" i="3"/>
  <c r="I50" i="3"/>
  <c r="I47" i="3"/>
  <c r="I57" i="3"/>
  <c r="I56" i="3"/>
  <c r="I48" i="3"/>
  <c r="I53" i="3"/>
  <c r="I55" i="3"/>
  <c r="I52" i="3"/>
  <c r="I49" i="3"/>
  <c r="K21" i="3"/>
  <c r="K56" i="3"/>
  <c r="K48" i="3"/>
  <c r="K53" i="3"/>
  <c r="K54" i="3"/>
  <c r="K51" i="3"/>
  <c r="K50" i="3"/>
  <c r="K47" i="3"/>
  <c r="K55" i="3"/>
  <c r="K52" i="3"/>
  <c r="K57" i="3"/>
  <c r="K49" i="3"/>
  <c r="J4" i="3"/>
  <c r="J30" i="3" s="1"/>
  <c r="I43" i="3"/>
  <c r="I8" i="3"/>
  <c r="L17" i="3"/>
  <c r="L41" i="3"/>
  <c r="L42" i="3"/>
  <c r="L40" i="3"/>
  <c r="L39" i="3"/>
  <c r="L38" i="3"/>
  <c r="L8" i="3"/>
  <c r="L37" i="3"/>
  <c r="K26" i="3"/>
  <c r="K38" i="3"/>
  <c r="K45" i="3"/>
  <c r="K25" i="3"/>
  <c r="K40" i="3"/>
  <c r="K13" i="3"/>
  <c r="K16" i="3"/>
  <c r="I39" i="3"/>
  <c r="I11" i="3"/>
  <c r="I38" i="3"/>
  <c r="I25" i="3"/>
  <c r="I22" i="3"/>
  <c r="I9" i="3"/>
  <c r="I30" i="3"/>
  <c r="L24" i="3"/>
  <c r="L15" i="3"/>
  <c r="L14" i="3"/>
  <c r="I44" i="3"/>
  <c r="I26" i="3"/>
  <c r="L26" i="3"/>
  <c r="K19" i="3"/>
  <c r="K30" i="3"/>
  <c r="K34" i="3"/>
  <c r="K12" i="3"/>
  <c r="K23" i="3"/>
  <c r="K46" i="3"/>
  <c r="K14" i="3"/>
  <c r="K28" i="3"/>
  <c r="I12" i="3"/>
  <c r="Y16" i="115" s="1"/>
  <c r="I19" i="3"/>
  <c r="I21" i="3"/>
  <c r="L28" i="3"/>
  <c r="L20" i="3"/>
  <c r="I37" i="3"/>
  <c r="I28" i="3"/>
  <c r="I23" i="3"/>
  <c r="I36" i="3"/>
  <c r="L11" i="3"/>
  <c r="L31" i="3"/>
  <c r="L33" i="3"/>
  <c r="L23" i="3"/>
  <c r="L34" i="3"/>
  <c r="L12" i="3"/>
  <c r="X16" i="115" s="1"/>
  <c r="L35" i="3"/>
  <c r="L30" i="3"/>
  <c r="L22" i="3"/>
  <c r="L25" i="3"/>
  <c r="L32" i="3"/>
  <c r="L18" i="3"/>
  <c r="L27" i="3"/>
  <c r="I17" i="3"/>
  <c r="I33" i="3"/>
  <c r="I27" i="3"/>
  <c r="I20" i="3"/>
  <c r="I31" i="3"/>
  <c r="I35" i="3"/>
  <c r="I24" i="3"/>
  <c r="I42" i="3"/>
  <c r="I45" i="3"/>
  <c r="I18" i="3"/>
  <c r="I41" i="3"/>
  <c r="I13" i="3"/>
  <c r="Y17" i="115" s="1"/>
  <c r="I34" i="3"/>
  <c r="I10" i="3"/>
  <c r="I14" i="3"/>
  <c r="I29" i="3"/>
  <c r="K22" i="3"/>
  <c r="K9" i="3"/>
  <c r="K27" i="3"/>
  <c r="K11" i="3"/>
  <c r="K18" i="3"/>
  <c r="K43" i="3"/>
  <c r="K32" i="3"/>
  <c r="K31" i="3"/>
  <c r="K15" i="3"/>
  <c r="K42" i="3"/>
  <c r="K17" i="3"/>
  <c r="K41" i="3"/>
  <c r="K36" i="3"/>
  <c r="K35" i="3"/>
  <c r="K29" i="3"/>
  <c r="K39" i="3"/>
  <c r="K33" i="3"/>
  <c r="K24" i="3"/>
  <c r="K37" i="3"/>
  <c r="K10" i="3"/>
  <c r="K44" i="3"/>
  <c r="K20" i="3"/>
  <c r="I40" i="3"/>
  <c r="I15" i="3"/>
  <c r="I16" i="3"/>
  <c r="I46" i="3"/>
  <c r="I32" i="3"/>
  <c r="L21" i="3"/>
  <c r="L19" i="3"/>
  <c r="L10" i="3"/>
  <c r="L29" i="3"/>
  <c r="L16" i="3"/>
  <c r="L36" i="3"/>
  <c r="L13" i="3"/>
  <c r="X17" i="115" s="1"/>
  <c r="L9" i="3"/>
  <c r="X21" i="115" l="1"/>
  <c r="Y21" i="115"/>
  <c r="M24" i="123"/>
  <c r="N24" i="123" s="1"/>
  <c r="Q24" i="123"/>
  <c r="R24" i="123" s="1"/>
  <c r="G25" i="122"/>
  <c r="E25" i="123"/>
  <c r="Q22" i="115"/>
  <c r="R22" i="115" s="1"/>
  <c r="H18" i="114"/>
  <c r="M22" i="115"/>
  <c r="E23" i="115"/>
  <c r="G23" i="123"/>
  <c r="AA17" i="115"/>
  <c r="AG17" i="115" s="1"/>
  <c r="AS17" i="115" s="1"/>
  <c r="AV17" i="115" s="1"/>
  <c r="AA16" i="115"/>
  <c r="X18" i="115"/>
  <c r="Q22" i="124"/>
  <c r="AA21" i="115"/>
  <c r="AG21" i="115" s="1"/>
  <c r="Q15" i="124"/>
  <c r="Q16" i="124"/>
  <c r="Q17" i="124"/>
  <c r="Q18" i="124"/>
  <c r="Q19" i="124"/>
  <c r="X19" i="115"/>
  <c r="Q23" i="124"/>
  <c r="X20" i="115"/>
  <c r="Y18" i="115"/>
  <c r="R22" i="124"/>
  <c r="R15" i="124"/>
  <c r="R16" i="124"/>
  <c r="R17" i="124"/>
  <c r="R18" i="124"/>
  <c r="R19" i="124"/>
  <c r="Q20" i="124"/>
  <c r="Q21" i="124"/>
  <c r="Y19" i="115"/>
  <c r="R23" i="124"/>
  <c r="Y20" i="115"/>
  <c r="R20" i="124"/>
  <c r="R21" i="124"/>
  <c r="D20" i="125"/>
  <c r="G20" i="125"/>
  <c r="F20" i="125"/>
  <c r="K23" i="124"/>
  <c r="J19" i="125" s="1"/>
  <c r="E24" i="124"/>
  <c r="E20" i="125" s="1"/>
  <c r="AM22" i="124"/>
  <c r="AN22" i="124"/>
  <c r="AA22" i="124"/>
  <c r="Y22" i="124"/>
  <c r="F26" i="124"/>
  <c r="H25" i="124"/>
  <c r="C25" i="124"/>
  <c r="S25" i="124"/>
  <c r="M25" i="122"/>
  <c r="N25" i="122" s="1"/>
  <c r="H26" i="115"/>
  <c r="J25" i="115"/>
  <c r="K25" i="115" s="1"/>
  <c r="F26" i="122"/>
  <c r="E26" i="122"/>
  <c r="H28" i="122"/>
  <c r="J27" i="122"/>
  <c r="K27" i="122" s="1"/>
  <c r="S25" i="122"/>
  <c r="T25" i="122" s="1"/>
  <c r="J42" i="3"/>
  <c r="J33" i="3"/>
  <c r="J38" i="3"/>
  <c r="J21" i="3"/>
  <c r="J36" i="3"/>
  <c r="J19" i="3"/>
  <c r="J46" i="3"/>
  <c r="J11" i="3"/>
  <c r="J29" i="3"/>
  <c r="J35" i="3"/>
  <c r="J13" i="3"/>
  <c r="J26" i="3"/>
  <c r="J8" i="3"/>
  <c r="J32" i="3"/>
  <c r="J39" i="3"/>
  <c r="J9" i="3"/>
  <c r="J10" i="3"/>
  <c r="J28" i="3"/>
  <c r="J12" i="3"/>
  <c r="J16" i="3"/>
  <c r="J41" i="3"/>
  <c r="J18" i="3"/>
  <c r="J34" i="3"/>
  <c r="J44" i="3"/>
  <c r="J45" i="3"/>
  <c r="J27" i="3"/>
  <c r="J31" i="3"/>
  <c r="J40" i="3"/>
  <c r="J17" i="3"/>
  <c r="J15" i="3"/>
  <c r="J23" i="3"/>
  <c r="J22" i="3"/>
  <c r="J20" i="3"/>
  <c r="J24" i="3"/>
  <c r="J14" i="3"/>
  <c r="J51" i="3"/>
  <c r="J56" i="3"/>
  <c r="J48" i="3"/>
  <c r="J52" i="3"/>
  <c r="J49" i="3"/>
  <c r="J57" i="3"/>
  <c r="J53" i="3"/>
  <c r="J50" i="3"/>
  <c r="J55" i="3"/>
  <c r="J47" i="3"/>
  <c r="J54" i="3"/>
  <c r="J25" i="3"/>
  <c r="J43" i="3"/>
  <c r="J37" i="3"/>
  <c r="AK17" i="115" l="1"/>
  <c r="AG16" i="115"/>
  <c r="AS16" i="115" s="1"/>
  <c r="AV16" i="115" s="1"/>
  <c r="G22" i="115"/>
  <c r="K18" i="114"/>
  <c r="F25" i="123"/>
  <c r="L25" i="123" s="1"/>
  <c r="F23" i="115"/>
  <c r="L23" i="115" s="1"/>
  <c r="S23" i="123"/>
  <c r="T23" i="123" s="1"/>
  <c r="D19" i="114"/>
  <c r="E24" i="115"/>
  <c r="D20" i="114" s="1"/>
  <c r="G24" i="123"/>
  <c r="N22" i="115"/>
  <c r="I18" i="114"/>
  <c r="AK16" i="115"/>
  <c r="AL16" i="115" s="1"/>
  <c r="AA20" i="115"/>
  <c r="T23" i="124"/>
  <c r="T22" i="124"/>
  <c r="T19" i="124"/>
  <c r="T21" i="124"/>
  <c r="T15" i="124"/>
  <c r="Z15" i="124" s="1"/>
  <c r="AS21" i="115"/>
  <c r="AV21" i="115" s="1"/>
  <c r="AK21" i="115"/>
  <c r="AA19" i="115"/>
  <c r="AG19" i="115" s="1"/>
  <c r="AA18" i="115"/>
  <c r="AG18" i="115" s="1"/>
  <c r="T18" i="124"/>
  <c r="Z18" i="124" s="1"/>
  <c r="T20" i="124"/>
  <c r="Z20" i="124" s="1"/>
  <c r="AL17" i="115"/>
  <c r="AM17" i="115"/>
  <c r="T17" i="124"/>
  <c r="Z17" i="124" s="1"/>
  <c r="T16" i="124"/>
  <c r="Z16" i="124" s="1"/>
  <c r="G26" i="124"/>
  <c r="AJ22" i="124"/>
  <c r="AB22" i="124"/>
  <c r="I24" i="124"/>
  <c r="H20" i="125" s="1"/>
  <c r="C21" i="125"/>
  <c r="D25" i="124"/>
  <c r="AA23" i="124"/>
  <c r="AM23" i="124"/>
  <c r="AN23" i="124"/>
  <c r="Y23" i="124"/>
  <c r="W25" i="115"/>
  <c r="O25" i="115"/>
  <c r="P25" i="115" s="1"/>
  <c r="D25" i="115"/>
  <c r="I26" i="115"/>
  <c r="C26" i="115"/>
  <c r="C22" i="114" s="1"/>
  <c r="F21" i="114"/>
  <c r="L26" i="122"/>
  <c r="Q26" i="122" s="1"/>
  <c r="R26" i="122" s="1"/>
  <c r="D27" i="122"/>
  <c r="W27" i="122"/>
  <c r="O27" i="122"/>
  <c r="P27" i="122" s="1"/>
  <c r="C28" i="122"/>
  <c r="I28" i="122"/>
  <c r="G21" i="114"/>
  <c r="L12" i="114"/>
  <c r="L13" i="114"/>
  <c r="Z23" i="124" l="1"/>
  <c r="K19" i="125" s="1"/>
  <c r="Z21" i="124"/>
  <c r="K17" i="125" s="1"/>
  <c r="Z19" i="124"/>
  <c r="K15" i="125" s="1"/>
  <c r="Z22" i="124"/>
  <c r="K18" i="125" s="1"/>
  <c r="AG20" i="115"/>
  <c r="AS20" i="115" s="1"/>
  <c r="AV20" i="115" s="1"/>
  <c r="AM16" i="115"/>
  <c r="AN16" i="115" s="1"/>
  <c r="AO16" i="115" s="1"/>
  <c r="AP16" i="115" s="1"/>
  <c r="AW16" i="115" s="1"/>
  <c r="Q25" i="123"/>
  <c r="R25" i="123" s="1"/>
  <c r="M25" i="123"/>
  <c r="N25" i="123" s="1"/>
  <c r="Q23" i="115"/>
  <c r="R23" i="115" s="1"/>
  <c r="M23" i="115"/>
  <c r="N23" i="115" s="1"/>
  <c r="H19" i="114"/>
  <c r="G26" i="122"/>
  <c r="S26" i="122" s="1"/>
  <c r="T26" i="122" s="1"/>
  <c r="E26" i="123"/>
  <c r="AU22" i="115"/>
  <c r="AT22" i="115"/>
  <c r="AF22" i="115"/>
  <c r="AH22" i="115"/>
  <c r="AI22" i="115" s="1"/>
  <c r="J18" i="114"/>
  <c r="F24" i="115"/>
  <c r="L24" i="115" s="1"/>
  <c r="H20" i="114" s="1"/>
  <c r="S24" i="123"/>
  <c r="T24" i="123" s="1"/>
  <c r="S22" i="115"/>
  <c r="T22" i="115" s="1"/>
  <c r="E18" i="114"/>
  <c r="AK20" i="115"/>
  <c r="AL20" i="115" s="1"/>
  <c r="AN17" i="115"/>
  <c r="AO17" i="115" s="1"/>
  <c r="AP17" i="115" s="1"/>
  <c r="AW17" i="115" s="1"/>
  <c r="AD21" i="124"/>
  <c r="AF21" i="124" s="1"/>
  <c r="AK18" i="115"/>
  <c r="AS18" i="115"/>
  <c r="AV18" i="115" s="1"/>
  <c r="K12" i="125"/>
  <c r="AL16" i="124"/>
  <c r="AO16" i="124" s="1"/>
  <c r="M12" i="125" s="1"/>
  <c r="AD16" i="124"/>
  <c r="K13" i="125"/>
  <c r="AD17" i="124"/>
  <c r="AL17" i="124"/>
  <c r="AO17" i="124" s="1"/>
  <c r="M13" i="125" s="1"/>
  <c r="K14" i="125"/>
  <c r="AD18" i="124"/>
  <c r="AL18" i="124"/>
  <c r="AO18" i="124" s="1"/>
  <c r="M14" i="125" s="1"/>
  <c r="AL21" i="115"/>
  <c r="AM21" i="115"/>
  <c r="AK19" i="115"/>
  <c r="AS19" i="115"/>
  <c r="AV19" i="115" s="1"/>
  <c r="K16" i="125"/>
  <c r="AL20" i="124"/>
  <c r="AO20" i="124" s="1"/>
  <c r="M16" i="125" s="1"/>
  <c r="AD20" i="124"/>
  <c r="K11" i="125"/>
  <c r="AD15" i="124"/>
  <c r="AL15" i="124"/>
  <c r="AO15" i="124" s="1"/>
  <c r="M11" i="125" s="1"/>
  <c r="D21" i="125"/>
  <c r="G21" i="125"/>
  <c r="F21" i="125"/>
  <c r="E25" i="124"/>
  <c r="E21" i="125" s="1"/>
  <c r="C26" i="124"/>
  <c r="H26" i="124"/>
  <c r="F27" i="124"/>
  <c r="S26" i="124"/>
  <c r="AB23" i="124"/>
  <c r="AD23" i="124" s="1"/>
  <c r="AJ23" i="124"/>
  <c r="AL23" i="124" s="1"/>
  <c r="AO23" i="124" s="1"/>
  <c r="M19" i="125" s="1"/>
  <c r="L24" i="124"/>
  <c r="M24" i="124" s="1"/>
  <c r="J24" i="124"/>
  <c r="I20" i="125" s="1"/>
  <c r="P24" i="124"/>
  <c r="H27" i="115"/>
  <c r="J26" i="115"/>
  <c r="K26" i="115" s="1"/>
  <c r="M26" i="122"/>
  <c r="N26" i="122" s="1"/>
  <c r="E27" i="122"/>
  <c r="F27" i="122"/>
  <c r="H29" i="122"/>
  <c r="J28" i="122"/>
  <c r="K28" i="122" s="1"/>
  <c r="N12" i="114"/>
  <c r="N13" i="114"/>
  <c r="AL19" i="124" l="1"/>
  <c r="AO19" i="124" s="1"/>
  <c r="M15" i="125" s="1"/>
  <c r="AL21" i="124"/>
  <c r="AO21" i="124" s="1"/>
  <c r="M17" i="125" s="1"/>
  <c r="AD22" i="124"/>
  <c r="AL22" i="124"/>
  <c r="AO22" i="124" s="1"/>
  <c r="M18" i="125" s="1"/>
  <c r="AD19" i="124"/>
  <c r="AM20" i="115"/>
  <c r="I19" i="114"/>
  <c r="Z22" i="115"/>
  <c r="X22" i="115"/>
  <c r="Y22" i="115"/>
  <c r="Q24" i="115"/>
  <c r="R24" i="115" s="1"/>
  <c r="M24" i="115"/>
  <c r="N24" i="115" s="1"/>
  <c r="J20" i="114" s="1"/>
  <c r="F26" i="123"/>
  <c r="L26" i="123" s="1"/>
  <c r="Q24" i="124"/>
  <c r="R24" i="124"/>
  <c r="AU23" i="115"/>
  <c r="AF23" i="115"/>
  <c r="AT23" i="115"/>
  <c r="AH23" i="115"/>
  <c r="J19" i="114"/>
  <c r="AQ22" i="115"/>
  <c r="K19" i="114"/>
  <c r="G23" i="115"/>
  <c r="E25" i="115"/>
  <c r="D21" i="114" s="1"/>
  <c r="G25" i="123"/>
  <c r="AE21" i="124"/>
  <c r="AG21" i="124" s="1"/>
  <c r="AH21" i="124" s="1"/>
  <c r="AI21" i="124" s="1"/>
  <c r="AN21" i="115"/>
  <c r="AO21" i="115" s="1"/>
  <c r="AP21" i="115" s="1"/>
  <c r="AW21" i="115" s="1"/>
  <c r="AL19" i="115"/>
  <c r="AM19" i="115"/>
  <c r="AE17" i="124"/>
  <c r="AF17" i="124"/>
  <c r="AE15" i="124"/>
  <c r="AF15" i="124"/>
  <c r="AF16" i="124"/>
  <c r="AE16" i="124"/>
  <c r="AE20" i="124"/>
  <c r="AF20" i="124"/>
  <c r="AF18" i="124"/>
  <c r="AE18" i="124"/>
  <c r="AN20" i="115"/>
  <c r="AO20" i="115" s="1"/>
  <c r="AP20" i="115" s="1"/>
  <c r="AW20" i="115" s="1"/>
  <c r="AM18" i="115"/>
  <c r="AL18" i="115"/>
  <c r="AF23" i="124"/>
  <c r="AE23" i="124"/>
  <c r="I25" i="124"/>
  <c r="H21" i="125" s="1"/>
  <c r="C22" i="125"/>
  <c r="D26" i="124"/>
  <c r="K24" i="124"/>
  <c r="J20" i="125" s="1"/>
  <c r="G27" i="124"/>
  <c r="I27" i="115"/>
  <c r="C27" i="115"/>
  <c r="C23" i="114" s="1"/>
  <c r="W26" i="115"/>
  <c r="O26" i="115"/>
  <c r="P26" i="115" s="1"/>
  <c r="D26" i="115"/>
  <c r="L27" i="122"/>
  <c r="Q27" i="122" s="1"/>
  <c r="R27" i="122" s="1"/>
  <c r="D28" i="122"/>
  <c r="W28" i="122"/>
  <c r="O28" i="122"/>
  <c r="P28" i="122" s="1"/>
  <c r="I29" i="122"/>
  <c r="C29" i="122"/>
  <c r="F22" i="114"/>
  <c r="G22" i="114"/>
  <c r="M13" i="114"/>
  <c r="M12" i="114"/>
  <c r="L14" i="114"/>
  <c r="AE19" i="124" l="1"/>
  <c r="AF19" i="124"/>
  <c r="AE22" i="124"/>
  <c r="AF22" i="124"/>
  <c r="I20" i="114"/>
  <c r="T24" i="124"/>
  <c r="AN19" i="115"/>
  <c r="AO19" i="115" s="1"/>
  <c r="AP19" i="115" s="1"/>
  <c r="AW19" i="115" s="1"/>
  <c r="M26" i="123"/>
  <c r="N26" i="123" s="1"/>
  <c r="Q26" i="123"/>
  <c r="R26" i="123" s="1"/>
  <c r="AI23" i="115"/>
  <c r="AQ23" i="115"/>
  <c r="AU24" i="115"/>
  <c r="AH24" i="115"/>
  <c r="AT24" i="115"/>
  <c r="AF24" i="115"/>
  <c r="F25" i="115"/>
  <c r="L25" i="115" s="1"/>
  <c r="H21" i="114" s="1"/>
  <c r="S25" i="123"/>
  <c r="T25" i="123" s="1"/>
  <c r="K20" i="114"/>
  <c r="G24" i="115"/>
  <c r="G27" i="122"/>
  <c r="S27" i="122" s="1"/>
  <c r="T27" i="122" s="1"/>
  <c r="E27" i="123"/>
  <c r="S23" i="115"/>
  <c r="T23" i="115" s="1"/>
  <c r="E19" i="114"/>
  <c r="AA22" i="115"/>
  <c r="AG22" i="115" s="1"/>
  <c r="AG16" i="124"/>
  <c r="AH16" i="124" s="1"/>
  <c r="AI16" i="124" s="1"/>
  <c r="L12" i="125" s="1"/>
  <c r="AG18" i="124"/>
  <c r="AH18" i="124" s="1"/>
  <c r="AI18" i="124" s="1"/>
  <c r="L14" i="125" s="1"/>
  <c r="AG17" i="124"/>
  <c r="AH17" i="124" s="1"/>
  <c r="AI17" i="124" s="1"/>
  <c r="L13" i="125" s="1"/>
  <c r="AG20" i="124"/>
  <c r="AH20" i="124" s="1"/>
  <c r="AI20" i="124" s="1"/>
  <c r="L16" i="125" s="1"/>
  <c r="AN18" i="115"/>
  <c r="AO18" i="115" s="1"/>
  <c r="AP18" i="115" s="1"/>
  <c r="AW18" i="115" s="1"/>
  <c r="AG15" i="124"/>
  <c r="AH15" i="124" s="1"/>
  <c r="AI15" i="124" s="1"/>
  <c r="L11" i="125" s="1"/>
  <c r="L17" i="125"/>
  <c r="AP21" i="124"/>
  <c r="N17" i="125" s="1"/>
  <c r="F22" i="125"/>
  <c r="D22" i="125"/>
  <c r="G22" i="125"/>
  <c r="AG23" i="124"/>
  <c r="AH23" i="124" s="1"/>
  <c r="AI23" i="124" s="1"/>
  <c r="L19" i="125" s="1"/>
  <c r="E26" i="124"/>
  <c r="E22" i="125" s="1"/>
  <c r="F28" i="124"/>
  <c r="C27" i="124"/>
  <c r="H27" i="124"/>
  <c r="S27" i="124"/>
  <c r="L25" i="124"/>
  <c r="M25" i="124" s="1"/>
  <c r="P25" i="124"/>
  <c r="J25" i="124"/>
  <c r="I21" i="125" s="1"/>
  <c r="AA24" i="124"/>
  <c r="AM24" i="124"/>
  <c r="AN24" i="124"/>
  <c r="Y24" i="124"/>
  <c r="H28" i="115"/>
  <c r="J27" i="115"/>
  <c r="K27" i="115" s="1"/>
  <c r="M27" i="122"/>
  <c r="N27" i="122" s="1"/>
  <c r="H30" i="122"/>
  <c r="J29" i="122"/>
  <c r="K29" i="122" s="1"/>
  <c r="E28" i="122"/>
  <c r="F28" i="122"/>
  <c r="O12" i="114"/>
  <c r="O13" i="114"/>
  <c r="N14" i="114"/>
  <c r="L15" i="114"/>
  <c r="AG19" i="124" l="1"/>
  <c r="AH19" i="124" s="1"/>
  <c r="AI19" i="124" s="1"/>
  <c r="Z24" i="124"/>
  <c r="K20" i="125" s="1"/>
  <c r="AG22" i="124"/>
  <c r="AH22" i="124" s="1"/>
  <c r="AI22" i="124" s="1"/>
  <c r="AP17" i="124"/>
  <c r="N13" i="125" s="1"/>
  <c r="AP16" i="124"/>
  <c r="N12" i="125" s="1"/>
  <c r="AP18" i="124"/>
  <c r="N14" i="125" s="1"/>
  <c r="Z23" i="115"/>
  <c r="Y23" i="115"/>
  <c r="X23" i="115"/>
  <c r="F27" i="123"/>
  <c r="L27" i="123" s="1"/>
  <c r="AI24" i="115"/>
  <c r="AQ24" i="115"/>
  <c r="Q25" i="115"/>
  <c r="R25" i="115" s="1"/>
  <c r="M25" i="115"/>
  <c r="N25" i="115" s="1"/>
  <c r="J21" i="114" s="1"/>
  <c r="S24" i="115"/>
  <c r="T24" i="115" s="1"/>
  <c r="E20" i="114"/>
  <c r="R25" i="124"/>
  <c r="Q25" i="124"/>
  <c r="AK22" i="115"/>
  <c r="AS22" i="115"/>
  <c r="AV22" i="115" s="1"/>
  <c r="E26" i="115"/>
  <c r="G26" i="123"/>
  <c r="AP20" i="124"/>
  <c r="N16" i="125" s="1"/>
  <c r="AP15" i="124"/>
  <c r="N11" i="125" s="1"/>
  <c r="AP23" i="124"/>
  <c r="I26" i="124"/>
  <c r="H22" i="125" s="1"/>
  <c r="K25" i="124"/>
  <c r="J21" i="125" s="1"/>
  <c r="G28" i="124"/>
  <c r="C23" i="125"/>
  <c r="D27" i="124"/>
  <c r="AB24" i="124"/>
  <c r="AD24" i="124" s="1"/>
  <c r="AJ24" i="124"/>
  <c r="AL24" i="124" s="1"/>
  <c r="AO24" i="124" s="1"/>
  <c r="M20" i="125" s="1"/>
  <c r="O27" i="115"/>
  <c r="P27" i="115" s="1"/>
  <c r="W27" i="115"/>
  <c r="D27" i="115"/>
  <c r="P13" i="114"/>
  <c r="I28" i="115"/>
  <c r="C28" i="115"/>
  <c r="C24" i="114" s="1"/>
  <c r="I21" i="114"/>
  <c r="C30" i="122"/>
  <c r="I30" i="122"/>
  <c r="L28" i="122"/>
  <c r="W29" i="122"/>
  <c r="O29" i="122"/>
  <c r="P29" i="122" s="1"/>
  <c r="D29" i="122"/>
  <c r="F23" i="114"/>
  <c r="G23" i="114"/>
  <c r="M14" i="114"/>
  <c r="N15" i="114"/>
  <c r="L16" i="114"/>
  <c r="O13" i="125" l="1"/>
  <c r="L15" i="125"/>
  <c r="AP19" i="124"/>
  <c r="N15" i="125" s="1"/>
  <c r="O15" i="125" s="1"/>
  <c r="O14" i="125"/>
  <c r="L18" i="125"/>
  <c r="AP22" i="124"/>
  <c r="N18" i="125" s="1"/>
  <c r="O18" i="125" s="1"/>
  <c r="AA23" i="115"/>
  <c r="AG23" i="115" s="1"/>
  <c r="AS23" i="115" s="1"/>
  <c r="AV23" i="115" s="1"/>
  <c r="P26" i="124"/>
  <c r="J26" i="124"/>
  <c r="I22" i="125" s="1"/>
  <c r="L26" i="124"/>
  <c r="M26" i="124" s="1"/>
  <c r="T25" i="124"/>
  <c r="O17" i="125"/>
  <c r="Q27" i="123"/>
  <c r="R27" i="123" s="1"/>
  <c r="M27" i="123"/>
  <c r="N27" i="123" s="1"/>
  <c r="K21" i="114"/>
  <c r="G25" i="115"/>
  <c r="AL22" i="115"/>
  <c r="AM22" i="115"/>
  <c r="D22" i="114"/>
  <c r="Z24" i="115"/>
  <c r="X24" i="115"/>
  <c r="Y24" i="115"/>
  <c r="F26" i="115"/>
  <c r="L26" i="115" s="1"/>
  <c r="S26" i="123"/>
  <c r="T26" i="123" s="1"/>
  <c r="AH25" i="115"/>
  <c r="AT25" i="115"/>
  <c r="AU25" i="115"/>
  <c r="AF25" i="115"/>
  <c r="G23" i="125"/>
  <c r="F23" i="125"/>
  <c r="D23" i="125"/>
  <c r="N19" i="125"/>
  <c r="AF24" i="124"/>
  <c r="AE24" i="124"/>
  <c r="E27" i="124"/>
  <c r="E23" i="125" s="1"/>
  <c r="C28" i="124"/>
  <c r="F29" i="124"/>
  <c r="H28" i="124"/>
  <c r="S28" i="124"/>
  <c r="AM25" i="124"/>
  <c r="AA25" i="124"/>
  <c r="AN25" i="124"/>
  <c r="Y25" i="124"/>
  <c r="H29" i="115"/>
  <c r="J28" i="115"/>
  <c r="K28" i="115" s="1"/>
  <c r="Q28" i="122"/>
  <c r="R28" i="122" s="1"/>
  <c r="M28" i="122"/>
  <c r="N28" i="122" s="1"/>
  <c r="H31" i="122"/>
  <c r="J30" i="122"/>
  <c r="K30" i="122" s="1"/>
  <c r="E29" i="122"/>
  <c r="F29" i="122"/>
  <c r="O14" i="114"/>
  <c r="P14" i="114" s="1"/>
  <c r="M15" i="114"/>
  <c r="N16" i="114"/>
  <c r="L17" i="114"/>
  <c r="Z25" i="124" l="1"/>
  <c r="O19" i="125"/>
  <c r="R26" i="124"/>
  <c r="AK23" i="115"/>
  <c r="AM23" i="115" s="1"/>
  <c r="O16" i="125"/>
  <c r="Q26" i="124"/>
  <c r="K21" i="125"/>
  <c r="K26" i="124"/>
  <c r="J22" i="125" s="1"/>
  <c r="AN22" i="115"/>
  <c r="AO22" i="115" s="1"/>
  <c r="AP22" i="115" s="1"/>
  <c r="AW22" i="115" s="1"/>
  <c r="Q26" i="115"/>
  <c r="R26" i="115" s="1"/>
  <c r="M26" i="115"/>
  <c r="N26" i="115" s="1"/>
  <c r="H22" i="114"/>
  <c r="AA24" i="115"/>
  <c r="AG24" i="115" s="1"/>
  <c r="G28" i="122"/>
  <c r="S28" i="122" s="1"/>
  <c r="T28" i="122" s="1"/>
  <c r="E28" i="123"/>
  <c r="S25" i="115"/>
  <c r="T25" i="115" s="1"/>
  <c r="E21" i="114"/>
  <c r="AQ25" i="115"/>
  <c r="AI25" i="115"/>
  <c r="E27" i="115"/>
  <c r="G27" i="123"/>
  <c r="AG24" i="124"/>
  <c r="AH24" i="124" s="1"/>
  <c r="AI24" i="124" s="1"/>
  <c r="L20" i="125" s="1"/>
  <c r="I27" i="124"/>
  <c r="H23" i="125" s="1"/>
  <c r="AJ25" i="124"/>
  <c r="AL25" i="124" s="1"/>
  <c r="AO25" i="124" s="1"/>
  <c r="M21" i="125" s="1"/>
  <c r="AB25" i="124"/>
  <c r="AD25" i="124" s="1"/>
  <c r="G29" i="124"/>
  <c r="D28" i="124"/>
  <c r="C24" i="125"/>
  <c r="W28" i="115"/>
  <c r="O28" i="115"/>
  <c r="P28" i="115" s="1"/>
  <c r="D28" i="115"/>
  <c r="I29" i="115"/>
  <c r="C29" i="115"/>
  <c r="C25" i="114" s="1"/>
  <c r="W30" i="122"/>
  <c r="O30" i="122"/>
  <c r="P30" i="122" s="1"/>
  <c r="D30" i="122"/>
  <c r="C31" i="122"/>
  <c r="I31" i="122"/>
  <c r="L29" i="122"/>
  <c r="F24" i="114"/>
  <c r="G24" i="114"/>
  <c r="O15" i="114"/>
  <c r="P15" i="114" s="1"/>
  <c r="M16" i="114"/>
  <c r="N17" i="114"/>
  <c r="L18" i="114"/>
  <c r="AL23" i="115" l="1"/>
  <c r="AN23" i="115" s="1"/>
  <c r="AO23" i="115" s="1"/>
  <c r="AP23" i="115" s="1"/>
  <c r="AW23" i="115" s="1"/>
  <c r="AA26" i="124"/>
  <c r="T26" i="124"/>
  <c r="AM26" i="124"/>
  <c r="Y26" i="124"/>
  <c r="AN26" i="124"/>
  <c r="Z26" i="124"/>
  <c r="K22" i="125" s="1"/>
  <c r="J22" i="114"/>
  <c r="I22" i="114"/>
  <c r="F27" i="115"/>
  <c r="L27" i="115" s="1"/>
  <c r="S27" i="123"/>
  <c r="T27" i="123" s="1"/>
  <c r="F28" i="123"/>
  <c r="L28" i="123" s="1"/>
  <c r="AS24" i="115"/>
  <c r="AV24" i="115" s="1"/>
  <c r="AK24" i="115"/>
  <c r="D23" i="114"/>
  <c r="AT26" i="115"/>
  <c r="AF26" i="115"/>
  <c r="AU26" i="115"/>
  <c r="AH26" i="115"/>
  <c r="Z25" i="115"/>
  <c r="X25" i="115"/>
  <c r="Y25" i="115"/>
  <c r="K22" i="114"/>
  <c r="G26" i="115"/>
  <c r="G24" i="125"/>
  <c r="F24" i="125"/>
  <c r="D24" i="125"/>
  <c r="AP24" i="124"/>
  <c r="N20" i="125" s="1"/>
  <c r="O20" i="125" s="1"/>
  <c r="AE25" i="124"/>
  <c r="AF25" i="124"/>
  <c r="AJ26" i="124"/>
  <c r="AB26" i="124"/>
  <c r="AD26" i="124" s="1"/>
  <c r="L27" i="124"/>
  <c r="M27" i="124" s="1"/>
  <c r="J27" i="124"/>
  <c r="I23" i="125" s="1"/>
  <c r="P27" i="124"/>
  <c r="E28" i="124"/>
  <c r="E24" i="125" s="1"/>
  <c r="F30" i="124"/>
  <c r="H29" i="124"/>
  <c r="C29" i="124"/>
  <c r="S29" i="124"/>
  <c r="H30" i="115"/>
  <c r="J29" i="115"/>
  <c r="K29" i="115" s="1"/>
  <c r="E30" i="122"/>
  <c r="F30" i="122"/>
  <c r="Q29" i="122"/>
  <c r="R29" i="122" s="1"/>
  <c r="M29" i="122"/>
  <c r="N29" i="122" s="1"/>
  <c r="H32" i="122"/>
  <c r="J31" i="122"/>
  <c r="K31" i="122" s="1"/>
  <c r="M17" i="114"/>
  <c r="N18" i="114"/>
  <c r="O16" i="114"/>
  <c r="P16" i="114" s="1"/>
  <c r="L19" i="114"/>
  <c r="AL26" i="124" l="1"/>
  <c r="AO26" i="124" s="1"/>
  <c r="M22" i="125" s="1"/>
  <c r="AA25" i="115"/>
  <c r="AG25" i="115" s="1"/>
  <c r="Q28" i="123"/>
  <c r="R28" i="123" s="1"/>
  <c r="M28" i="123"/>
  <c r="N28" i="123" s="1"/>
  <c r="H23" i="114"/>
  <c r="M27" i="115"/>
  <c r="N27" i="115" s="1"/>
  <c r="Q27" i="115"/>
  <c r="R27" i="115" s="1"/>
  <c r="K23" i="114" s="1"/>
  <c r="AL24" i="115"/>
  <c r="AM24" i="115"/>
  <c r="AS25" i="115"/>
  <c r="AV25" i="115" s="1"/>
  <c r="AK25" i="115"/>
  <c r="R27" i="124"/>
  <c r="Q27" i="124"/>
  <c r="T27" i="124" s="1"/>
  <c r="AI26" i="115"/>
  <c r="AQ26" i="115"/>
  <c r="G29" i="122"/>
  <c r="S29" i="122" s="1"/>
  <c r="T29" i="122" s="1"/>
  <c r="E29" i="123"/>
  <c r="S26" i="115"/>
  <c r="T26" i="115" s="1"/>
  <c r="E22" i="114"/>
  <c r="AG25" i="124"/>
  <c r="AH25" i="124" s="1"/>
  <c r="AI25" i="124" s="1"/>
  <c r="L21" i="125" s="1"/>
  <c r="D29" i="124"/>
  <c r="C25" i="125"/>
  <c r="AE26" i="124"/>
  <c r="AF26" i="124"/>
  <c r="G30" i="124"/>
  <c r="I28" i="124"/>
  <c r="H24" i="125" s="1"/>
  <c r="K27" i="124"/>
  <c r="J23" i="125" s="1"/>
  <c r="I30" i="115"/>
  <c r="C30" i="115"/>
  <c r="C26" i="114" s="1"/>
  <c r="W29" i="115"/>
  <c r="O29" i="115"/>
  <c r="P29" i="115" s="1"/>
  <c r="D29" i="115"/>
  <c r="L30" i="122"/>
  <c r="C32" i="122"/>
  <c r="I32" i="122"/>
  <c r="D31" i="122"/>
  <c r="O31" i="122"/>
  <c r="P31" i="122" s="1"/>
  <c r="W31" i="122"/>
  <c r="F25" i="114"/>
  <c r="G25" i="114"/>
  <c r="N19" i="114"/>
  <c r="O17" i="114"/>
  <c r="P17" i="114" s="1"/>
  <c r="M18" i="114"/>
  <c r="L20" i="114"/>
  <c r="J23" i="114" l="1"/>
  <c r="AF27" i="115"/>
  <c r="AT27" i="115"/>
  <c r="AH27" i="115"/>
  <c r="AI27" i="115" s="1"/>
  <c r="AU27" i="115"/>
  <c r="I23" i="114"/>
  <c r="AN24" i="115"/>
  <c r="AO24" i="115" s="1"/>
  <c r="AP24" i="115" s="1"/>
  <c r="AW24" i="115" s="1"/>
  <c r="G27" i="115"/>
  <c r="E23" i="114" s="1"/>
  <c r="Z26" i="115"/>
  <c r="Y26" i="115"/>
  <c r="X26" i="115"/>
  <c r="F29" i="123"/>
  <c r="L29" i="123" s="1"/>
  <c r="AL25" i="115"/>
  <c r="AM25" i="115"/>
  <c r="E28" i="115"/>
  <c r="G28" i="123"/>
  <c r="AP25" i="124"/>
  <c r="N21" i="125" s="1"/>
  <c r="O21" i="125" s="1"/>
  <c r="G25" i="125"/>
  <c r="F25" i="125"/>
  <c r="D25" i="125"/>
  <c r="AG26" i="124"/>
  <c r="AH26" i="124" s="1"/>
  <c r="AI26" i="124" s="1"/>
  <c r="L22" i="125" s="1"/>
  <c r="P28" i="124"/>
  <c r="L28" i="124"/>
  <c r="M28" i="124" s="1"/>
  <c r="J28" i="124"/>
  <c r="I24" i="125" s="1"/>
  <c r="E29" i="124"/>
  <c r="E25" i="125" s="1"/>
  <c r="AN27" i="124"/>
  <c r="AM27" i="124"/>
  <c r="AA27" i="124"/>
  <c r="Y27" i="124"/>
  <c r="H30" i="124"/>
  <c r="F31" i="124"/>
  <c r="C30" i="124"/>
  <c r="S30" i="124"/>
  <c r="H31" i="115"/>
  <c r="J30" i="115"/>
  <c r="K30" i="115" s="1"/>
  <c r="H33" i="122"/>
  <c r="J32" i="122"/>
  <c r="K32" i="122" s="1"/>
  <c r="F31" i="122"/>
  <c r="E31" i="122"/>
  <c r="M30" i="122"/>
  <c r="N30" i="122" s="1"/>
  <c r="Q30" i="122"/>
  <c r="R30" i="122" s="1"/>
  <c r="L21" i="114"/>
  <c r="O18" i="114"/>
  <c r="P18" i="114" s="1"/>
  <c r="M19" i="114"/>
  <c r="N20" i="114"/>
  <c r="AQ27" i="115" l="1"/>
  <c r="S27" i="115"/>
  <c r="T27" i="115" s="1"/>
  <c r="Z27" i="115" s="1"/>
  <c r="AA26" i="115"/>
  <c r="AG26" i="115" s="1"/>
  <c r="AK26" i="115" s="1"/>
  <c r="Z27" i="124"/>
  <c r="K23" i="125" s="1"/>
  <c r="M29" i="123"/>
  <c r="N29" i="123" s="1"/>
  <c r="Q29" i="123"/>
  <c r="R29" i="123" s="1"/>
  <c r="D24" i="114"/>
  <c r="AN25" i="115"/>
  <c r="AO25" i="115" s="1"/>
  <c r="AP25" i="115" s="1"/>
  <c r="AW25" i="115" s="1"/>
  <c r="Q28" i="124"/>
  <c r="R28" i="124"/>
  <c r="AS26" i="115"/>
  <c r="AV26" i="115" s="1"/>
  <c r="G30" i="122"/>
  <c r="E30" i="123"/>
  <c r="F28" i="115"/>
  <c r="L28" i="115" s="1"/>
  <c r="S28" i="123"/>
  <c r="T28" i="123" s="1"/>
  <c r="K28" i="124"/>
  <c r="J24" i="125" s="1"/>
  <c r="AB27" i="124"/>
  <c r="AD27" i="124" s="1"/>
  <c r="AJ27" i="124"/>
  <c r="I29" i="124"/>
  <c r="H25" i="125" s="1"/>
  <c r="D30" i="124"/>
  <c r="C26" i="125"/>
  <c r="G31" i="124"/>
  <c r="AP26" i="124"/>
  <c r="W30" i="115"/>
  <c r="O30" i="115"/>
  <c r="P30" i="115" s="1"/>
  <c r="D30" i="115"/>
  <c r="X27" i="115"/>
  <c r="Y27" i="115"/>
  <c r="I31" i="115"/>
  <c r="C31" i="115"/>
  <c r="C27" i="114" s="1"/>
  <c r="I33" i="122"/>
  <c r="C33" i="122"/>
  <c r="D32" i="122"/>
  <c r="O32" i="122"/>
  <c r="P32" i="122" s="1"/>
  <c r="W32" i="122"/>
  <c r="S30" i="122"/>
  <c r="T30" i="122" s="1"/>
  <c r="L31" i="122"/>
  <c r="F26" i="114"/>
  <c r="G26" i="114"/>
  <c r="N21" i="114"/>
  <c r="O19" i="114"/>
  <c r="P19" i="114" s="1"/>
  <c r="AL27" i="124" l="1"/>
  <c r="AO27" i="124" s="1"/>
  <c r="M23" i="125" s="1"/>
  <c r="M28" i="115"/>
  <c r="Q28" i="115"/>
  <c r="R28" i="115" s="1"/>
  <c r="H24" i="114"/>
  <c r="T28" i="124"/>
  <c r="F30" i="123"/>
  <c r="L30" i="123" s="1"/>
  <c r="E29" i="115"/>
  <c r="G29" i="123"/>
  <c r="AM26" i="115"/>
  <c r="AL26" i="115"/>
  <c r="F26" i="125"/>
  <c r="G26" i="125"/>
  <c r="D26" i="125"/>
  <c r="N22" i="125"/>
  <c r="O22" i="125" s="1"/>
  <c r="C31" i="124"/>
  <c r="H31" i="124"/>
  <c r="F32" i="124"/>
  <c r="S31" i="124"/>
  <c r="AE27" i="124"/>
  <c r="AF27" i="124"/>
  <c r="E30" i="124"/>
  <c r="E26" i="125" s="1"/>
  <c r="P29" i="124"/>
  <c r="J29" i="124"/>
  <c r="I25" i="125" s="1"/>
  <c r="L29" i="124"/>
  <c r="M29" i="124" s="1"/>
  <c r="AM28" i="124"/>
  <c r="AN28" i="124"/>
  <c r="AA28" i="124"/>
  <c r="Y28" i="124"/>
  <c r="AA27" i="115"/>
  <c r="H32" i="115"/>
  <c r="J31" i="115"/>
  <c r="K31" i="115" s="1"/>
  <c r="M31" i="122"/>
  <c r="N31" i="122" s="1"/>
  <c r="Q31" i="122"/>
  <c r="R31" i="122" s="1"/>
  <c r="F32" i="122"/>
  <c r="E32" i="122"/>
  <c r="H34" i="122"/>
  <c r="J33" i="122"/>
  <c r="K33" i="122" s="1"/>
  <c r="M21" i="114"/>
  <c r="M20" i="114"/>
  <c r="Z28" i="124" l="1"/>
  <c r="K24" i="125" s="1"/>
  <c r="AG27" i="115"/>
  <c r="AS27" i="115" s="1"/>
  <c r="AV27" i="115" s="1"/>
  <c r="AN26" i="115"/>
  <c r="AO26" i="115" s="1"/>
  <c r="AP26" i="115" s="1"/>
  <c r="AW26" i="115" s="1"/>
  <c r="Q30" i="123"/>
  <c r="R30" i="123" s="1"/>
  <c r="M30" i="123"/>
  <c r="N30" i="123" s="1"/>
  <c r="F29" i="115"/>
  <c r="L29" i="115" s="1"/>
  <c r="S29" i="123"/>
  <c r="T29" i="123" s="1"/>
  <c r="D25" i="114"/>
  <c r="G31" i="122"/>
  <c r="S31" i="122" s="1"/>
  <c r="T31" i="122" s="1"/>
  <c r="E31" i="123"/>
  <c r="Q29" i="124"/>
  <c r="R29" i="124"/>
  <c r="K24" i="114"/>
  <c r="G28" i="115"/>
  <c r="N28" i="115"/>
  <c r="I24" i="114"/>
  <c r="AG27" i="124"/>
  <c r="AH27" i="124" s="1"/>
  <c r="AI27" i="124" s="1"/>
  <c r="L23" i="125" s="1"/>
  <c r="AB28" i="124"/>
  <c r="AJ28" i="124"/>
  <c r="AL28" i="124" s="1"/>
  <c r="AO28" i="124" s="1"/>
  <c r="M24" i="125" s="1"/>
  <c r="I30" i="124"/>
  <c r="H26" i="125" s="1"/>
  <c r="G32" i="124"/>
  <c r="C27" i="125"/>
  <c r="D31" i="124"/>
  <c r="K29" i="124"/>
  <c r="J25" i="125" s="1"/>
  <c r="I32" i="115"/>
  <c r="C32" i="115"/>
  <c r="C28" i="114" s="1"/>
  <c r="O31" i="115"/>
  <c r="P31" i="115" s="1"/>
  <c r="W31" i="115"/>
  <c r="Z31" i="115" s="1"/>
  <c r="D31" i="115"/>
  <c r="W33" i="122"/>
  <c r="O33" i="122"/>
  <c r="P33" i="122" s="1"/>
  <c r="D33" i="122"/>
  <c r="C34" i="122"/>
  <c r="I34" i="122"/>
  <c r="L32" i="122"/>
  <c r="F27" i="114"/>
  <c r="G27" i="114"/>
  <c r="O21" i="114"/>
  <c r="O20" i="114"/>
  <c r="P20" i="114" s="1"/>
  <c r="AK27" i="115" l="1"/>
  <c r="AM27" i="115" s="1"/>
  <c r="AD28" i="124"/>
  <c r="T29" i="124"/>
  <c r="F31" i="123"/>
  <c r="L31" i="123" s="1"/>
  <c r="Q29" i="115"/>
  <c r="R29" i="115" s="1"/>
  <c r="M29" i="115"/>
  <c r="H25" i="114"/>
  <c r="AU28" i="115"/>
  <c r="AT28" i="115"/>
  <c r="AH28" i="115"/>
  <c r="AF28" i="115"/>
  <c r="J24" i="114"/>
  <c r="S28" i="115"/>
  <c r="T28" i="115" s="1"/>
  <c r="E24" i="114"/>
  <c r="E30" i="115"/>
  <c r="G30" i="123"/>
  <c r="F27" i="125"/>
  <c r="G27" i="125"/>
  <c r="D27" i="125"/>
  <c r="AP27" i="124"/>
  <c r="AN29" i="124"/>
  <c r="AA29" i="124"/>
  <c r="AM29" i="124"/>
  <c r="Y29" i="124"/>
  <c r="Z29" i="124" s="1"/>
  <c r="L30" i="124"/>
  <c r="M30" i="124" s="1"/>
  <c r="P30" i="124"/>
  <c r="J30" i="124"/>
  <c r="I26" i="125" s="1"/>
  <c r="E31" i="124"/>
  <c r="E27" i="125" s="1"/>
  <c r="AE28" i="124"/>
  <c r="AF28" i="124"/>
  <c r="F33" i="124"/>
  <c r="C32" i="124"/>
  <c r="H32" i="124"/>
  <c r="S32" i="124"/>
  <c r="AL27" i="115"/>
  <c r="AN27" i="115" s="1"/>
  <c r="AO27" i="115" s="1"/>
  <c r="AP27" i="115" s="1"/>
  <c r="AW27" i="115" s="1"/>
  <c r="P21" i="114"/>
  <c r="H33" i="115"/>
  <c r="J32" i="115"/>
  <c r="K32" i="115" s="1"/>
  <c r="Q32" i="122"/>
  <c r="R32" i="122" s="1"/>
  <c r="M32" i="122"/>
  <c r="N32" i="122" s="1"/>
  <c r="F33" i="122"/>
  <c r="E33" i="122"/>
  <c r="H35" i="122"/>
  <c r="J34" i="122"/>
  <c r="K34" i="122" s="1"/>
  <c r="K25" i="125" l="1"/>
  <c r="Q31" i="123"/>
  <c r="R31" i="123" s="1"/>
  <c r="M31" i="123"/>
  <c r="N31" i="123" s="1"/>
  <c r="AQ28" i="115"/>
  <c r="AI28" i="115"/>
  <c r="F30" i="115"/>
  <c r="L30" i="115" s="1"/>
  <c r="S30" i="123"/>
  <c r="T30" i="123" s="1"/>
  <c r="D26" i="114"/>
  <c r="Q30" i="124"/>
  <c r="R30" i="124"/>
  <c r="N29" i="115"/>
  <c r="I25" i="114"/>
  <c r="Z28" i="115"/>
  <c r="X28" i="115"/>
  <c r="Y28" i="115"/>
  <c r="K25" i="114"/>
  <c r="G29" i="115"/>
  <c r="G32" i="122"/>
  <c r="S32" i="122" s="1"/>
  <c r="T32" i="122" s="1"/>
  <c r="E32" i="123"/>
  <c r="N23" i="125"/>
  <c r="O23" i="125" s="1"/>
  <c r="AG28" i="124"/>
  <c r="AH28" i="124" s="1"/>
  <c r="AI28" i="124" s="1"/>
  <c r="L24" i="125" s="1"/>
  <c r="AB29" i="124"/>
  <c r="AD29" i="124" s="1"/>
  <c r="AJ29" i="124"/>
  <c r="AL29" i="124" s="1"/>
  <c r="AO29" i="124" s="1"/>
  <c r="M25" i="125" s="1"/>
  <c r="K30" i="124"/>
  <c r="J26" i="125" s="1"/>
  <c r="D32" i="124"/>
  <c r="C28" i="125"/>
  <c r="I31" i="124"/>
  <c r="H27" i="125" s="1"/>
  <c r="G33" i="124"/>
  <c r="I33" i="115"/>
  <c r="C33" i="115"/>
  <c r="C29" i="114" s="1"/>
  <c r="W32" i="115"/>
  <c r="Z32" i="115" s="1"/>
  <c r="O32" i="115"/>
  <c r="P32" i="115" s="1"/>
  <c r="D32" i="115"/>
  <c r="L33" i="122"/>
  <c r="Q33" i="122" s="1"/>
  <c r="R33" i="122" s="1"/>
  <c r="C35" i="122"/>
  <c r="I35" i="122"/>
  <c r="W34" i="122"/>
  <c r="O34" i="122"/>
  <c r="P34" i="122" s="1"/>
  <c r="D34" i="122"/>
  <c r="F28" i="114"/>
  <c r="G28" i="114"/>
  <c r="T30" i="124" l="1"/>
  <c r="AA28" i="115"/>
  <c r="Q30" i="115"/>
  <c r="R30" i="115" s="1"/>
  <c r="M30" i="115"/>
  <c r="H26" i="114"/>
  <c r="G33" i="122"/>
  <c r="S33" i="122" s="1"/>
  <c r="T33" i="122" s="1"/>
  <c r="E33" i="123"/>
  <c r="AF29" i="115"/>
  <c r="AU29" i="115"/>
  <c r="AT29" i="115"/>
  <c r="AH29" i="115"/>
  <c r="J25" i="114"/>
  <c r="F32" i="123"/>
  <c r="L32" i="123" s="1"/>
  <c r="S29" i="115"/>
  <c r="T29" i="115" s="1"/>
  <c r="E25" i="114"/>
  <c r="E31" i="115"/>
  <c r="G31" i="123"/>
  <c r="G28" i="125"/>
  <c r="F28" i="125"/>
  <c r="D28" i="125"/>
  <c r="AP28" i="124"/>
  <c r="E32" i="124"/>
  <c r="E28" i="125" s="1"/>
  <c r="AA30" i="124"/>
  <c r="AM30" i="124"/>
  <c r="AN30" i="124"/>
  <c r="Y30" i="124"/>
  <c r="AE29" i="124"/>
  <c r="AF29" i="124"/>
  <c r="J31" i="124"/>
  <c r="I27" i="125" s="1"/>
  <c r="L31" i="124"/>
  <c r="M31" i="124" s="1"/>
  <c r="P31" i="124"/>
  <c r="C33" i="124"/>
  <c r="F34" i="124"/>
  <c r="H33" i="124"/>
  <c r="S33" i="124"/>
  <c r="H34" i="115"/>
  <c r="J33" i="115"/>
  <c r="K33" i="115" s="1"/>
  <c r="M33" i="122"/>
  <c r="N33" i="122" s="1"/>
  <c r="H36" i="122"/>
  <c r="J35" i="122"/>
  <c r="K35" i="122" s="1"/>
  <c r="E34" i="122"/>
  <c r="F34" i="122"/>
  <c r="Z30" i="124" l="1"/>
  <c r="K26" i="125" s="1"/>
  <c r="AG28" i="115"/>
  <c r="AK28" i="115" s="1"/>
  <c r="AL28" i="115" s="1"/>
  <c r="M32" i="123"/>
  <c r="N32" i="123" s="1"/>
  <c r="Q32" i="123"/>
  <c r="R32" i="123" s="1"/>
  <c r="D27" i="114"/>
  <c r="Z29" i="115"/>
  <c r="Y29" i="115"/>
  <c r="X29" i="115"/>
  <c r="F33" i="123"/>
  <c r="L33" i="123" s="1"/>
  <c r="AM28" i="115"/>
  <c r="R31" i="124"/>
  <c r="Q31" i="124"/>
  <c r="AI29" i="115"/>
  <c r="AQ29" i="115"/>
  <c r="N30" i="115"/>
  <c r="I26" i="114"/>
  <c r="F31" i="115"/>
  <c r="L31" i="115" s="1"/>
  <c r="S31" i="123"/>
  <c r="T31" i="123" s="1"/>
  <c r="K26" i="114"/>
  <c r="G30" i="115"/>
  <c r="N24" i="125"/>
  <c r="O24" i="125" s="1"/>
  <c r="AG29" i="124"/>
  <c r="AH29" i="124" s="1"/>
  <c r="AI29" i="124" s="1"/>
  <c r="L25" i="125" s="1"/>
  <c r="K31" i="124"/>
  <c r="J27" i="125" s="1"/>
  <c r="AJ30" i="124"/>
  <c r="AL30" i="124" s="1"/>
  <c r="AO30" i="124" s="1"/>
  <c r="M26" i="125" s="1"/>
  <c r="AB30" i="124"/>
  <c r="AD30" i="124" s="1"/>
  <c r="G34" i="124"/>
  <c r="C29" i="125"/>
  <c r="D33" i="124"/>
  <c r="I32" i="124"/>
  <c r="H28" i="125" s="1"/>
  <c r="O33" i="115"/>
  <c r="P33" i="115" s="1"/>
  <c r="W33" i="115"/>
  <c r="Z33" i="115" s="1"/>
  <c r="D33" i="115"/>
  <c r="I34" i="115"/>
  <c r="C34" i="115"/>
  <c r="C30" i="114" s="1"/>
  <c r="L34" i="122"/>
  <c r="M34" i="122" s="1"/>
  <c r="N34" i="122" s="1"/>
  <c r="D35" i="122"/>
  <c r="W35" i="122"/>
  <c r="O35" i="122"/>
  <c r="P35" i="122" s="1"/>
  <c r="C36" i="122"/>
  <c r="I36" i="122"/>
  <c r="F29" i="114"/>
  <c r="G29" i="114"/>
  <c r="T31" i="124" l="1"/>
  <c r="AA29" i="115"/>
  <c r="AS28" i="115"/>
  <c r="AV28" i="115" s="1"/>
  <c r="AN28" i="115"/>
  <c r="AO28" i="115" s="1"/>
  <c r="AP28" i="115" s="1"/>
  <c r="H27" i="114"/>
  <c r="Q31" i="115"/>
  <c r="R31" i="115" s="1"/>
  <c r="M31" i="115"/>
  <c r="M33" i="123"/>
  <c r="N33" i="123" s="1"/>
  <c r="Q33" i="123"/>
  <c r="R33" i="123" s="1"/>
  <c r="S30" i="115"/>
  <c r="T30" i="115" s="1"/>
  <c r="E26" i="114"/>
  <c r="E32" i="115"/>
  <c r="G32" i="123"/>
  <c r="AH30" i="115"/>
  <c r="AU30" i="115"/>
  <c r="AT30" i="115"/>
  <c r="AF30" i="115"/>
  <c r="J26" i="114"/>
  <c r="D29" i="125"/>
  <c r="G29" i="125"/>
  <c r="F29" i="125"/>
  <c r="AP29" i="124"/>
  <c r="N25" i="125" s="1"/>
  <c r="O25" i="125" s="1"/>
  <c r="P32" i="124"/>
  <c r="J32" i="124"/>
  <c r="I28" i="125" s="1"/>
  <c r="L32" i="124"/>
  <c r="M32" i="124" s="1"/>
  <c r="C34" i="124"/>
  <c r="F35" i="124"/>
  <c r="H34" i="124"/>
  <c r="S34" i="124"/>
  <c r="AF30" i="124"/>
  <c r="AE30" i="124"/>
  <c r="AM31" i="124"/>
  <c r="AA31" i="124"/>
  <c r="AN31" i="124"/>
  <c r="Y31" i="124"/>
  <c r="Z31" i="124" s="1"/>
  <c r="K27" i="125" s="1"/>
  <c r="E33" i="124"/>
  <c r="E29" i="125" s="1"/>
  <c r="H35" i="115"/>
  <c r="J34" i="115"/>
  <c r="K34" i="115" s="1"/>
  <c r="Q34" i="122"/>
  <c r="R34" i="122" s="1"/>
  <c r="H37" i="122"/>
  <c r="J36" i="122"/>
  <c r="K36" i="122" s="1"/>
  <c r="E35" i="122"/>
  <c r="F35" i="122"/>
  <c r="AW28" i="115" l="1"/>
  <c r="AG29" i="115"/>
  <c r="E33" i="115"/>
  <c r="G33" i="123"/>
  <c r="AQ30" i="115"/>
  <c r="AI30" i="115"/>
  <c r="F32" i="115"/>
  <c r="L32" i="115" s="1"/>
  <c r="S32" i="123"/>
  <c r="T32" i="123" s="1"/>
  <c r="N31" i="115"/>
  <c r="I27" i="114"/>
  <c r="D28" i="114"/>
  <c r="K27" i="114"/>
  <c r="G31" i="115"/>
  <c r="G34" i="122"/>
  <c r="S34" i="122" s="1"/>
  <c r="T34" i="122" s="1"/>
  <c r="E34" i="123"/>
  <c r="R32" i="124"/>
  <c r="Q32" i="124"/>
  <c r="Z30" i="115"/>
  <c r="Y30" i="115"/>
  <c r="X30" i="115"/>
  <c r="D29" i="114"/>
  <c r="AG30" i="124"/>
  <c r="AH30" i="124" s="1"/>
  <c r="AI30" i="124" s="1"/>
  <c r="L26" i="125" s="1"/>
  <c r="I33" i="124"/>
  <c r="H29" i="125" s="1"/>
  <c r="K32" i="124"/>
  <c r="J28" i="125" s="1"/>
  <c r="G35" i="124"/>
  <c r="C30" i="125"/>
  <c r="D34" i="124"/>
  <c r="AB31" i="124"/>
  <c r="AD31" i="124" s="1"/>
  <c r="AJ31" i="124"/>
  <c r="AL31" i="124" s="1"/>
  <c r="AO31" i="124" s="1"/>
  <c r="M27" i="125" s="1"/>
  <c r="W34" i="115"/>
  <c r="Z34" i="115" s="1"/>
  <c r="O34" i="115"/>
  <c r="P34" i="115" s="1"/>
  <c r="D34" i="115"/>
  <c r="I35" i="115"/>
  <c r="C35" i="115"/>
  <c r="C31" i="114" s="1"/>
  <c r="L35" i="122"/>
  <c r="M35" i="122" s="1"/>
  <c r="N35" i="122" s="1"/>
  <c r="D36" i="122"/>
  <c r="W36" i="122"/>
  <c r="O36" i="122"/>
  <c r="P36" i="122" s="1"/>
  <c r="I37" i="122"/>
  <c r="C37" i="122"/>
  <c r="F30" i="114"/>
  <c r="G30" i="114"/>
  <c r="AS29" i="115" l="1"/>
  <c r="AV29" i="115" s="1"/>
  <c r="N25" i="114" s="1"/>
  <c r="L25" i="114"/>
  <c r="AK29" i="115"/>
  <c r="AA30" i="115"/>
  <c r="Q32" i="115"/>
  <c r="R32" i="115" s="1"/>
  <c r="M32" i="115"/>
  <c r="H28" i="114"/>
  <c r="AH31" i="115"/>
  <c r="J27" i="114"/>
  <c r="AF31" i="115"/>
  <c r="AT31" i="115"/>
  <c r="AU31" i="115"/>
  <c r="F34" i="123"/>
  <c r="L34" i="123" s="1"/>
  <c r="E27" i="114"/>
  <c r="S31" i="115"/>
  <c r="T31" i="115" s="1"/>
  <c r="F33" i="115"/>
  <c r="L33" i="115" s="1"/>
  <c r="H29" i="114" s="1"/>
  <c r="S33" i="123"/>
  <c r="T33" i="123" s="1"/>
  <c r="T32" i="124"/>
  <c r="G30" i="125"/>
  <c r="D30" i="125"/>
  <c r="F30" i="125"/>
  <c r="AP30" i="124"/>
  <c r="AE31" i="124"/>
  <c r="AF31" i="124"/>
  <c r="AM32" i="124"/>
  <c r="AA32" i="124"/>
  <c r="AN32" i="124"/>
  <c r="Y32" i="124"/>
  <c r="Z32" i="124" s="1"/>
  <c r="K28" i="125" s="1"/>
  <c r="F36" i="124"/>
  <c r="C35" i="124"/>
  <c r="H35" i="124"/>
  <c r="S35" i="124"/>
  <c r="E34" i="124"/>
  <c r="E30" i="125" s="1"/>
  <c r="P33" i="124"/>
  <c r="J33" i="124"/>
  <c r="I29" i="125" s="1"/>
  <c r="L33" i="124"/>
  <c r="M33" i="124" s="1"/>
  <c r="H36" i="115"/>
  <c r="J35" i="115"/>
  <c r="K35" i="115" s="1"/>
  <c r="Q35" i="122"/>
  <c r="R35" i="122" s="1"/>
  <c r="E36" i="122"/>
  <c r="F36" i="122"/>
  <c r="H38" i="122"/>
  <c r="J37" i="122"/>
  <c r="K37" i="122" s="1"/>
  <c r="AG30" i="115" l="1"/>
  <c r="AM29" i="115"/>
  <c r="AL29" i="115"/>
  <c r="M34" i="123"/>
  <c r="N34" i="123" s="1"/>
  <c r="Q34" i="123"/>
  <c r="R34" i="123" s="1"/>
  <c r="AG31" i="124"/>
  <c r="AH31" i="124" s="1"/>
  <c r="AI31" i="124" s="1"/>
  <c r="Y31" i="115"/>
  <c r="X31" i="115"/>
  <c r="AQ31" i="115"/>
  <c r="AI31" i="115"/>
  <c r="M33" i="115"/>
  <c r="N33" i="115" s="1"/>
  <c r="J29" i="114" s="1"/>
  <c r="Q33" i="115"/>
  <c r="R33" i="115" s="1"/>
  <c r="G35" i="122"/>
  <c r="F35" i="123" s="1"/>
  <c r="E35" i="123"/>
  <c r="R33" i="124"/>
  <c r="Q33" i="124"/>
  <c r="N32" i="115"/>
  <c r="I28" i="114"/>
  <c r="K28" i="114"/>
  <c r="G32" i="115"/>
  <c r="N26" i="125"/>
  <c r="O26" i="125" s="1"/>
  <c r="AJ32" i="124"/>
  <c r="AL32" i="124" s="1"/>
  <c r="AO32" i="124" s="1"/>
  <c r="M28" i="125" s="1"/>
  <c r="AB32" i="124"/>
  <c r="AD32" i="124" s="1"/>
  <c r="G36" i="124"/>
  <c r="K33" i="124"/>
  <c r="J29" i="125" s="1"/>
  <c r="C31" i="125"/>
  <c r="D35" i="124"/>
  <c r="E35" i="124"/>
  <c r="I34" i="124"/>
  <c r="H30" i="125" s="1"/>
  <c r="I36" i="115"/>
  <c r="C36" i="115"/>
  <c r="C32" i="114" s="1"/>
  <c r="W35" i="115"/>
  <c r="Z35" i="115" s="1"/>
  <c r="O35" i="115"/>
  <c r="P35" i="115" s="1"/>
  <c r="D35" i="115"/>
  <c r="I29" i="114"/>
  <c r="L36" i="122"/>
  <c r="C38" i="122"/>
  <c r="I38" i="122"/>
  <c r="W37" i="122"/>
  <c r="O37" i="122"/>
  <c r="P37" i="122" s="1"/>
  <c r="D37" i="122"/>
  <c r="F31" i="114"/>
  <c r="G31" i="114"/>
  <c r="AN29" i="115" l="1"/>
  <c r="AO29" i="115" s="1"/>
  <c r="AP29" i="115" s="1"/>
  <c r="S35" i="122"/>
  <c r="T35" i="122" s="1"/>
  <c r="AP31" i="124"/>
  <c r="L27" i="125"/>
  <c r="AW29" i="115"/>
  <c r="O25" i="114" s="1"/>
  <c r="M25" i="114"/>
  <c r="AS30" i="115"/>
  <c r="AV30" i="115" s="1"/>
  <c r="N26" i="114" s="1"/>
  <c r="L26" i="114"/>
  <c r="AK30" i="115"/>
  <c r="T33" i="124"/>
  <c r="L35" i="123"/>
  <c r="Q35" i="123" s="1"/>
  <c r="R35" i="123" s="1"/>
  <c r="AA31" i="115"/>
  <c r="AG31" i="115" s="1"/>
  <c r="S32" i="115"/>
  <c r="T32" i="115" s="1"/>
  <c r="E28" i="114"/>
  <c r="K29" i="114"/>
  <c r="G33" i="115"/>
  <c r="AT33" i="115"/>
  <c r="AF33" i="115"/>
  <c r="AU33" i="115"/>
  <c r="AH33" i="115"/>
  <c r="E34" i="115"/>
  <c r="G34" i="123"/>
  <c r="AH32" i="115"/>
  <c r="AT32" i="115"/>
  <c r="AU32" i="115"/>
  <c r="AF32" i="115"/>
  <c r="J28" i="114"/>
  <c r="O31" i="125"/>
  <c r="G31" i="125"/>
  <c r="K31" i="125"/>
  <c r="N31" i="125"/>
  <c r="F31" i="125"/>
  <c r="M31" i="125"/>
  <c r="E31" i="125"/>
  <c r="L31" i="125"/>
  <c r="D31" i="125"/>
  <c r="J31" i="125"/>
  <c r="I31" i="125"/>
  <c r="H31" i="125"/>
  <c r="C36" i="124"/>
  <c r="F37" i="124"/>
  <c r="H36" i="124"/>
  <c r="S36" i="124"/>
  <c r="AA33" i="124"/>
  <c r="AM33" i="124"/>
  <c r="AN33" i="124"/>
  <c r="Y33" i="124"/>
  <c r="Z33" i="124" s="1"/>
  <c r="K29" i="125" s="1"/>
  <c r="AE32" i="124"/>
  <c r="AF32" i="124"/>
  <c r="I35" i="124"/>
  <c r="L34" i="124"/>
  <c r="M34" i="124" s="1"/>
  <c r="J34" i="124"/>
  <c r="I30" i="125" s="1"/>
  <c r="P34" i="124"/>
  <c r="H37" i="115"/>
  <c r="J36" i="115"/>
  <c r="K36" i="115" s="1"/>
  <c r="M35" i="123"/>
  <c r="N35" i="123" s="1"/>
  <c r="F37" i="122"/>
  <c r="E37" i="122"/>
  <c r="H39" i="122"/>
  <c r="J38" i="122"/>
  <c r="K38" i="122" s="1"/>
  <c r="Q36" i="122"/>
  <c r="R36" i="122" s="1"/>
  <c r="M36" i="122"/>
  <c r="N36" i="122" s="1"/>
  <c r="E35" i="115" l="1"/>
  <c r="G35" i="123"/>
  <c r="N27" i="125"/>
  <c r="O27" i="125" s="1"/>
  <c r="AL30" i="115"/>
  <c r="AM30" i="115"/>
  <c r="G36" i="122"/>
  <c r="E36" i="123"/>
  <c r="S33" i="115"/>
  <c r="T33" i="115" s="1"/>
  <c r="E29" i="114"/>
  <c r="AQ32" i="115"/>
  <c r="AI32" i="115"/>
  <c r="F34" i="115"/>
  <c r="L34" i="115" s="1"/>
  <c r="S34" i="123"/>
  <c r="T34" i="123" s="1"/>
  <c r="D30" i="114"/>
  <c r="X32" i="115"/>
  <c r="Y32" i="115"/>
  <c r="R34" i="124"/>
  <c r="Q34" i="124"/>
  <c r="AI33" i="115"/>
  <c r="AQ33" i="115"/>
  <c r="AK31" i="115"/>
  <c r="L27" i="114"/>
  <c r="AS31" i="115"/>
  <c r="AV31" i="115" s="1"/>
  <c r="N27" i="114" s="1"/>
  <c r="L37" i="122"/>
  <c r="Q37" i="122" s="1"/>
  <c r="R37" i="122" s="1"/>
  <c r="G37" i="124"/>
  <c r="AJ33" i="124"/>
  <c r="AL33" i="124" s="1"/>
  <c r="AO33" i="124" s="1"/>
  <c r="M29" i="125" s="1"/>
  <c r="AB33" i="124"/>
  <c r="AD33" i="124" s="1"/>
  <c r="D36" i="124"/>
  <c r="C32" i="125"/>
  <c r="E36" i="124"/>
  <c r="K34" i="124"/>
  <c r="J30" i="125" s="1"/>
  <c r="P35" i="124"/>
  <c r="J35" i="124"/>
  <c r="L35" i="124"/>
  <c r="M35" i="124" s="1"/>
  <c r="AG32" i="124"/>
  <c r="AH32" i="124" s="1"/>
  <c r="AI32" i="124" s="1"/>
  <c r="L28" i="125" s="1"/>
  <c r="O36" i="115"/>
  <c r="P36" i="115" s="1"/>
  <c r="W36" i="115"/>
  <c r="Z36" i="115" s="1"/>
  <c r="D36" i="115"/>
  <c r="D31" i="114"/>
  <c r="I37" i="115"/>
  <c r="C37" i="115"/>
  <c r="C33" i="114" s="1"/>
  <c r="C39" i="122"/>
  <c r="I39" i="122"/>
  <c r="W38" i="122"/>
  <c r="O38" i="122"/>
  <c r="P38" i="122" s="1"/>
  <c r="D38" i="122"/>
  <c r="F32" i="114"/>
  <c r="G32" i="114"/>
  <c r="T34" i="124" l="1"/>
  <c r="M37" i="122"/>
  <c r="N37" i="122" s="1"/>
  <c r="F35" i="115"/>
  <c r="L35" i="115" s="1"/>
  <c r="H31" i="114" s="1"/>
  <c r="S35" i="123"/>
  <c r="T35" i="123" s="1"/>
  <c r="AN30" i="115"/>
  <c r="AO30" i="115" s="1"/>
  <c r="AP30" i="115" s="1"/>
  <c r="G37" i="122"/>
  <c r="E37" i="123"/>
  <c r="Q35" i="124"/>
  <c r="R35" i="124"/>
  <c r="AA32" i="115"/>
  <c r="AG32" i="115" s="1"/>
  <c r="M34" i="115"/>
  <c r="Q34" i="115"/>
  <c r="R34" i="115" s="1"/>
  <c r="H30" i="114"/>
  <c r="Y33" i="115"/>
  <c r="X33" i="115"/>
  <c r="AM31" i="115"/>
  <c r="AL31" i="115"/>
  <c r="S36" i="122"/>
  <c r="T36" i="122" s="1"/>
  <c r="F36" i="123"/>
  <c r="L36" i="123" s="1"/>
  <c r="M36" i="123" s="1"/>
  <c r="N36" i="123" s="1"/>
  <c r="O32" i="125"/>
  <c r="L32" i="125"/>
  <c r="D32" i="125"/>
  <c r="K32" i="125"/>
  <c r="J32" i="125"/>
  <c r="I32" i="125"/>
  <c r="G32" i="125"/>
  <c r="N32" i="125"/>
  <c r="F32" i="125"/>
  <c r="M32" i="125"/>
  <c r="E32" i="125"/>
  <c r="H32" i="125"/>
  <c r="AF33" i="124"/>
  <c r="AE33" i="124"/>
  <c r="AN34" i="124"/>
  <c r="AA34" i="124"/>
  <c r="AM34" i="124"/>
  <c r="Y34" i="124"/>
  <c r="Z34" i="124" s="1"/>
  <c r="K30" i="125" s="1"/>
  <c r="I36" i="124"/>
  <c r="H37" i="124"/>
  <c r="C37" i="124"/>
  <c r="F38" i="124"/>
  <c r="S37" i="124"/>
  <c r="K35" i="124"/>
  <c r="AP32" i="124"/>
  <c r="M35" i="115"/>
  <c r="N35" i="115" s="1"/>
  <c r="Q35" i="115"/>
  <c r="R35" i="115" s="1"/>
  <c r="H38" i="115"/>
  <c r="J37" i="115"/>
  <c r="K37" i="115" s="1"/>
  <c r="H40" i="122"/>
  <c r="J39" i="122"/>
  <c r="K39" i="122" s="1"/>
  <c r="F38" i="122"/>
  <c r="E38" i="122"/>
  <c r="N28" i="125" l="1"/>
  <c r="O28" i="125" s="1"/>
  <c r="G35" i="115"/>
  <c r="K31" i="114"/>
  <c r="AW30" i="115"/>
  <c r="O26" i="114" s="1"/>
  <c r="P26" i="114" s="1"/>
  <c r="M26" i="114"/>
  <c r="AN31" i="115"/>
  <c r="AO31" i="115" s="1"/>
  <c r="AP31" i="115" s="1"/>
  <c r="AW31" i="115" s="1"/>
  <c r="O27" i="114" s="1"/>
  <c r="P27" i="114" s="1"/>
  <c r="K30" i="114"/>
  <c r="G34" i="115"/>
  <c r="N34" i="115"/>
  <c r="I30" i="114"/>
  <c r="Q36" i="123"/>
  <c r="R36" i="123" s="1"/>
  <c r="AS32" i="115"/>
  <c r="AV32" i="115" s="1"/>
  <c r="N28" i="114" s="1"/>
  <c r="L28" i="114"/>
  <c r="AK32" i="115"/>
  <c r="T35" i="124"/>
  <c r="AA33" i="115"/>
  <c r="AG33" i="115" s="1"/>
  <c r="S37" i="122"/>
  <c r="T37" i="122" s="1"/>
  <c r="F37" i="123"/>
  <c r="L37" i="123" s="1"/>
  <c r="Q37" i="123" s="1"/>
  <c r="R37" i="123" s="1"/>
  <c r="AG33" i="124"/>
  <c r="AH33" i="124" s="1"/>
  <c r="AI33" i="124" s="1"/>
  <c r="AJ34" i="124"/>
  <c r="AL34" i="124" s="1"/>
  <c r="AO34" i="124" s="1"/>
  <c r="M30" i="125" s="1"/>
  <c r="AB34" i="124"/>
  <c r="AD34" i="124" s="1"/>
  <c r="AA35" i="124"/>
  <c r="AN35" i="124"/>
  <c r="AM35" i="124"/>
  <c r="Y35" i="124"/>
  <c r="G38" i="124"/>
  <c r="L36" i="124"/>
  <c r="M36" i="124" s="1"/>
  <c r="P36" i="124"/>
  <c r="J36" i="124"/>
  <c r="D37" i="124"/>
  <c r="C33" i="125"/>
  <c r="E37" i="124"/>
  <c r="I31" i="114"/>
  <c r="I38" i="115"/>
  <c r="C38" i="115"/>
  <c r="C34" i="114" s="1"/>
  <c r="O37" i="115"/>
  <c r="P37" i="115" s="1"/>
  <c r="W37" i="115"/>
  <c r="Z37" i="115" s="1"/>
  <c r="D37" i="115"/>
  <c r="AH35" i="115"/>
  <c r="AU35" i="115"/>
  <c r="AT35" i="115"/>
  <c r="AF35" i="115"/>
  <c r="L38" i="122"/>
  <c r="M38" i="122" s="1"/>
  <c r="N38" i="122" s="1"/>
  <c r="J31" i="114"/>
  <c r="D39" i="122"/>
  <c r="S39" i="122"/>
  <c r="T39" i="122" s="1"/>
  <c r="W39" i="122"/>
  <c r="O39" i="122"/>
  <c r="P39" i="122" s="1"/>
  <c r="C40" i="122"/>
  <c r="I40" i="122"/>
  <c r="F33" i="114"/>
  <c r="G33" i="114"/>
  <c r="AP33" i="124" l="1"/>
  <c r="L29" i="125"/>
  <c r="E36" i="115"/>
  <c r="G36" i="123"/>
  <c r="E37" i="115"/>
  <c r="G37" i="123"/>
  <c r="F37" i="115" s="1"/>
  <c r="Z35" i="124"/>
  <c r="M27" i="114"/>
  <c r="M37" i="123"/>
  <c r="N37" i="123" s="1"/>
  <c r="AU34" i="115"/>
  <c r="AT34" i="115"/>
  <c r="AH34" i="115"/>
  <c r="AF34" i="115"/>
  <c r="J30" i="114"/>
  <c r="L29" i="114"/>
  <c r="AS33" i="115"/>
  <c r="AV33" i="115" s="1"/>
  <c r="N29" i="114" s="1"/>
  <c r="AK33" i="115"/>
  <c r="S34" i="115"/>
  <c r="T34" i="115" s="1"/>
  <c r="E30" i="114"/>
  <c r="R36" i="124"/>
  <c r="Q36" i="124"/>
  <c r="AL32" i="115"/>
  <c r="AM32" i="115"/>
  <c r="O33" i="125"/>
  <c r="I33" i="125"/>
  <c r="M33" i="125"/>
  <c r="H33" i="125"/>
  <c r="G33" i="125"/>
  <c r="N33" i="125"/>
  <c r="F33" i="125"/>
  <c r="L33" i="125"/>
  <c r="D33" i="125"/>
  <c r="E33" i="125"/>
  <c r="K33" i="125"/>
  <c r="J33" i="125"/>
  <c r="AF34" i="124"/>
  <c r="AE34" i="124"/>
  <c r="AB35" i="124"/>
  <c r="AJ35" i="124"/>
  <c r="I37" i="124"/>
  <c r="H38" i="124"/>
  <c r="F39" i="124"/>
  <c r="C38" i="124"/>
  <c r="S38" i="124"/>
  <c r="K36" i="124"/>
  <c r="Q38" i="122"/>
  <c r="R38" i="122" s="1"/>
  <c r="AQ35" i="115"/>
  <c r="AI35" i="115"/>
  <c r="H39" i="115"/>
  <c r="J38" i="115"/>
  <c r="K38" i="115" s="1"/>
  <c r="S35" i="115"/>
  <c r="T35" i="115" s="1"/>
  <c r="E31" i="114"/>
  <c r="H41" i="122"/>
  <c r="J40" i="122"/>
  <c r="K40" i="122" s="1"/>
  <c r="E39" i="122"/>
  <c r="F39" i="122"/>
  <c r="S37" i="123" l="1"/>
  <c r="T37" i="123" s="1"/>
  <c r="AD35" i="124"/>
  <c r="F36" i="115"/>
  <c r="S36" i="123"/>
  <c r="T36" i="123" s="1"/>
  <c r="L36" i="115"/>
  <c r="AL35" i="124"/>
  <c r="AO35" i="124" s="1"/>
  <c r="AN32" i="115"/>
  <c r="AO32" i="115" s="1"/>
  <c r="AP32" i="115" s="1"/>
  <c r="AW32" i="115" s="1"/>
  <c r="O28" i="114" s="1"/>
  <c r="P28" i="114" s="1"/>
  <c r="D32" i="114"/>
  <c r="N29" i="125"/>
  <c r="O29" i="125" s="1"/>
  <c r="AM33" i="115"/>
  <c r="AL33" i="115"/>
  <c r="AN33" i="115" s="1"/>
  <c r="AO33" i="115" s="1"/>
  <c r="AP33" i="115" s="1"/>
  <c r="T36" i="124"/>
  <c r="AI34" i="115"/>
  <c r="AQ34" i="115"/>
  <c r="G38" i="122"/>
  <c r="E38" i="123"/>
  <c r="Y34" i="115"/>
  <c r="X34" i="115"/>
  <c r="L37" i="115"/>
  <c r="M37" i="115" s="1"/>
  <c r="N37" i="115" s="1"/>
  <c r="AG34" i="124"/>
  <c r="AH34" i="124" s="1"/>
  <c r="AI34" i="124" s="1"/>
  <c r="AF35" i="124"/>
  <c r="AE35" i="124"/>
  <c r="D38" i="124"/>
  <c r="C34" i="125"/>
  <c r="E38" i="124"/>
  <c r="G39" i="124"/>
  <c r="P37" i="124"/>
  <c r="L37" i="124"/>
  <c r="M37" i="124" s="1"/>
  <c r="J37" i="124"/>
  <c r="AM36" i="124"/>
  <c r="AA36" i="124"/>
  <c r="AN36" i="124"/>
  <c r="Y36" i="124"/>
  <c r="D33" i="114"/>
  <c r="I39" i="115"/>
  <c r="C39" i="115"/>
  <c r="C35" i="114" s="1"/>
  <c r="X35" i="115"/>
  <c r="Y35" i="115"/>
  <c r="W38" i="115"/>
  <c r="Z38" i="115" s="1"/>
  <c r="O38" i="115"/>
  <c r="P38" i="115" s="1"/>
  <c r="D38" i="115"/>
  <c r="L39" i="122"/>
  <c r="M39" i="122" s="1"/>
  <c r="N39" i="122" s="1"/>
  <c r="I41" i="122"/>
  <c r="C41" i="122"/>
  <c r="D40" i="122"/>
  <c r="S40" i="122"/>
  <c r="T40" i="122" s="1"/>
  <c r="W40" i="122"/>
  <c r="O40" i="122"/>
  <c r="P40" i="122" s="1"/>
  <c r="F34" i="114"/>
  <c r="G34" i="114"/>
  <c r="Z36" i="124" l="1"/>
  <c r="AG35" i="124"/>
  <c r="AH35" i="124" s="1"/>
  <c r="AI35" i="124" s="1"/>
  <c r="AP34" i="124"/>
  <c r="L30" i="125"/>
  <c r="M28" i="114"/>
  <c r="H32" i="114"/>
  <c r="Q36" i="115"/>
  <c r="R36" i="115" s="1"/>
  <c r="M36" i="115"/>
  <c r="AA34" i="115"/>
  <c r="AG34" i="115" s="1"/>
  <c r="AK34" i="115" s="1"/>
  <c r="Q37" i="115"/>
  <c r="R37" i="115" s="1"/>
  <c r="AW33" i="115"/>
  <c r="O29" i="114" s="1"/>
  <c r="P29" i="114" s="1"/>
  <c r="M29" i="114"/>
  <c r="Q37" i="124"/>
  <c r="R37" i="124"/>
  <c r="S38" i="122"/>
  <c r="T38" i="122" s="1"/>
  <c r="F38" i="123"/>
  <c r="L38" i="123" s="1"/>
  <c r="Q38" i="123" s="1"/>
  <c r="R38" i="123" s="1"/>
  <c r="O34" i="125"/>
  <c r="N34" i="125"/>
  <c r="F34" i="125"/>
  <c r="M34" i="125"/>
  <c r="E34" i="125"/>
  <c r="L34" i="125"/>
  <c r="D34" i="125"/>
  <c r="K34" i="125"/>
  <c r="I34" i="125"/>
  <c r="H34" i="125"/>
  <c r="G34" i="125"/>
  <c r="J34" i="125"/>
  <c r="P35" i="114"/>
  <c r="K35" i="114"/>
  <c r="AP35" i="124"/>
  <c r="I38" i="124"/>
  <c r="K37" i="124"/>
  <c r="AB36" i="124"/>
  <c r="AD36" i="124" s="1"/>
  <c r="AJ36" i="124"/>
  <c r="AL36" i="124" s="1"/>
  <c r="AO36" i="124" s="1"/>
  <c r="C39" i="124"/>
  <c r="F40" i="124"/>
  <c r="H39" i="124"/>
  <c r="S39" i="124"/>
  <c r="AA35" i="115"/>
  <c r="AU37" i="115"/>
  <c r="AT37" i="115"/>
  <c r="AH37" i="115"/>
  <c r="AF37" i="115"/>
  <c r="H40" i="115"/>
  <c r="J39" i="115"/>
  <c r="K39" i="115" s="1"/>
  <c r="Q39" i="122"/>
  <c r="R39" i="122" s="1"/>
  <c r="H33" i="114"/>
  <c r="H42" i="122"/>
  <c r="J41" i="122"/>
  <c r="K41" i="122" s="1"/>
  <c r="F40" i="122"/>
  <c r="E40" i="122"/>
  <c r="G37" i="115" l="1"/>
  <c r="S37" i="115" s="1"/>
  <c r="T37" i="115" s="1"/>
  <c r="K33" i="114"/>
  <c r="N36" i="115"/>
  <c r="I32" i="114"/>
  <c r="G36" i="115"/>
  <c r="K32" i="114"/>
  <c r="E38" i="115"/>
  <c r="D34" i="114" s="1"/>
  <c r="G38" i="123"/>
  <c r="L30" i="114"/>
  <c r="AS34" i="115"/>
  <c r="AV34" i="115" s="1"/>
  <c r="N30" i="114" s="1"/>
  <c r="N30" i="125"/>
  <c r="O30" i="125" s="1"/>
  <c r="AG35" i="115"/>
  <c r="L31" i="114" s="1"/>
  <c r="M38" i="123"/>
  <c r="N38" i="123" s="1"/>
  <c r="T37" i="124"/>
  <c r="G39" i="122"/>
  <c r="E39" i="123"/>
  <c r="G39" i="123"/>
  <c r="F39" i="115" s="1"/>
  <c r="AM34" i="115"/>
  <c r="AL34" i="115"/>
  <c r="G40" i="124"/>
  <c r="AA37" i="124"/>
  <c r="AM37" i="124"/>
  <c r="AN37" i="124"/>
  <c r="Y37" i="124"/>
  <c r="AF36" i="124"/>
  <c r="AE36" i="124"/>
  <c r="P38" i="124"/>
  <c r="J38" i="124"/>
  <c r="L38" i="124"/>
  <c r="M38" i="124" s="1"/>
  <c r="C35" i="125"/>
  <c r="D39" i="124"/>
  <c r="E39" i="124"/>
  <c r="I40" i="115"/>
  <c r="C40" i="115"/>
  <c r="C36" i="114" s="1"/>
  <c r="K36" i="114" s="1"/>
  <c r="X37" i="115"/>
  <c r="Y37" i="115"/>
  <c r="S39" i="115"/>
  <c r="T39" i="115" s="1"/>
  <c r="W39" i="115"/>
  <c r="Z39" i="115" s="1"/>
  <c r="O39" i="115"/>
  <c r="P39" i="115" s="1"/>
  <c r="D39" i="115"/>
  <c r="AQ37" i="115"/>
  <c r="AI37" i="115"/>
  <c r="I33" i="114"/>
  <c r="L40" i="122"/>
  <c r="Q40" i="122" s="1"/>
  <c r="R40" i="122" s="1"/>
  <c r="C42" i="122"/>
  <c r="I42" i="122"/>
  <c r="W41" i="122"/>
  <c r="O41" i="122"/>
  <c r="P41" i="122" s="1"/>
  <c r="D41" i="122"/>
  <c r="S41" i="122"/>
  <c r="T41" i="122" s="1"/>
  <c r="J33" i="114"/>
  <c r="E33" i="114"/>
  <c r="AK35" i="115" l="1"/>
  <c r="AL35" i="115" s="1"/>
  <c r="AS35" i="115"/>
  <c r="AV35" i="115" s="1"/>
  <c r="N31" i="114" s="1"/>
  <c r="AN34" i="115"/>
  <c r="AO34" i="115" s="1"/>
  <c r="AP34" i="115" s="1"/>
  <c r="M30" i="114" s="1"/>
  <c r="F38" i="115"/>
  <c r="L38" i="115" s="1"/>
  <c r="S38" i="123"/>
  <c r="T38" i="123" s="1"/>
  <c r="S36" i="115"/>
  <c r="T36" i="115" s="1"/>
  <c r="E32" i="114"/>
  <c r="J32" i="114"/>
  <c r="AU36" i="115"/>
  <c r="AT36" i="115"/>
  <c r="AF36" i="115"/>
  <c r="AH36" i="115"/>
  <c r="Z37" i="124"/>
  <c r="Q38" i="124"/>
  <c r="R38" i="124"/>
  <c r="AW34" i="115"/>
  <c r="O30" i="114" s="1"/>
  <c r="P30" i="114" s="1"/>
  <c r="G40" i="122"/>
  <c r="G40" i="123"/>
  <c r="F40" i="115" s="1"/>
  <c r="E40" i="123"/>
  <c r="F39" i="123"/>
  <c r="L39" i="123" s="1"/>
  <c r="O35" i="125"/>
  <c r="K35" i="125"/>
  <c r="J35" i="125"/>
  <c r="G35" i="125"/>
  <c r="I35" i="125"/>
  <c r="H35" i="125"/>
  <c r="N35" i="125"/>
  <c r="F35" i="125"/>
  <c r="M35" i="125"/>
  <c r="E35" i="125"/>
  <c r="L35" i="125"/>
  <c r="D35" i="125"/>
  <c r="AM35" i="115"/>
  <c r="AN35" i="115" s="1"/>
  <c r="AO35" i="115" s="1"/>
  <c r="AP35" i="115" s="1"/>
  <c r="AG36" i="124"/>
  <c r="AH36" i="124" s="1"/>
  <c r="AI36" i="124" s="1"/>
  <c r="AP36" i="124" s="1"/>
  <c r="K38" i="124"/>
  <c r="AB37" i="124"/>
  <c r="AD37" i="124" s="1"/>
  <c r="AJ37" i="124"/>
  <c r="AL37" i="124" s="1"/>
  <c r="AO37" i="124" s="1"/>
  <c r="I39" i="124"/>
  <c r="C40" i="124"/>
  <c r="F41" i="124"/>
  <c r="H40" i="124"/>
  <c r="S40" i="124"/>
  <c r="AA37" i="115"/>
  <c r="M40" i="122"/>
  <c r="N40" i="122" s="1"/>
  <c r="Y39" i="115"/>
  <c r="X39" i="115"/>
  <c r="H41" i="115"/>
  <c r="J40" i="115"/>
  <c r="K40" i="115" s="1"/>
  <c r="F36" i="114"/>
  <c r="F41" i="122"/>
  <c r="E41" i="122"/>
  <c r="H43" i="122"/>
  <c r="J42" i="122"/>
  <c r="K42" i="122" s="1"/>
  <c r="F35" i="114"/>
  <c r="G35" i="114"/>
  <c r="Q38" i="115" l="1"/>
  <c r="R38" i="115" s="1"/>
  <c r="M38" i="115"/>
  <c r="N38" i="115" s="1"/>
  <c r="AU38" i="115" s="1"/>
  <c r="H34" i="114"/>
  <c r="X36" i="115"/>
  <c r="Y36" i="115"/>
  <c r="AI36" i="115"/>
  <c r="AQ36" i="115"/>
  <c r="AG37" i="115"/>
  <c r="AS37" i="115" s="1"/>
  <c r="AV37" i="115" s="1"/>
  <c r="N33" i="114" s="1"/>
  <c r="Q39" i="123"/>
  <c r="R39" i="123" s="1"/>
  <c r="E39" i="115" s="1"/>
  <c r="L39" i="115" s="1"/>
  <c r="Q39" i="115" s="1"/>
  <c r="R39" i="115" s="1"/>
  <c r="G39" i="115" s="1"/>
  <c r="M39" i="123"/>
  <c r="N39" i="123" s="1"/>
  <c r="F40" i="123"/>
  <c r="L40" i="123" s="1"/>
  <c r="AF38" i="115"/>
  <c r="T38" i="124"/>
  <c r="AH38" i="115"/>
  <c r="AI38" i="115" s="1"/>
  <c r="AW35" i="115"/>
  <c r="O31" i="114" s="1"/>
  <c r="P31" i="114" s="1"/>
  <c r="M31" i="114"/>
  <c r="AF37" i="124"/>
  <c r="AE37" i="124"/>
  <c r="G41" i="124"/>
  <c r="J39" i="124"/>
  <c r="P39" i="124"/>
  <c r="L39" i="124"/>
  <c r="M39" i="124" s="1"/>
  <c r="C36" i="125"/>
  <c r="D40" i="124"/>
  <c r="E40" i="124"/>
  <c r="AM38" i="124"/>
  <c r="AA38" i="124"/>
  <c r="AN38" i="124"/>
  <c r="Y38" i="124"/>
  <c r="AA39" i="115"/>
  <c r="W40" i="115"/>
  <c r="Z40" i="115" s="1"/>
  <c r="O40" i="115"/>
  <c r="P40" i="115" s="1"/>
  <c r="S40" i="115"/>
  <c r="T40" i="115" s="1"/>
  <c r="D40" i="115"/>
  <c r="G36" i="114"/>
  <c r="D35" i="114"/>
  <c r="I41" i="115"/>
  <c r="C41" i="115"/>
  <c r="C37" i="114" s="1"/>
  <c r="K37" i="114" s="1"/>
  <c r="I34" i="114"/>
  <c r="L41" i="122"/>
  <c r="Q41" i="122" s="1"/>
  <c r="R41" i="122" s="1"/>
  <c r="C43" i="122"/>
  <c r="I43" i="122"/>
  <c r="W42" i="122"/>
  <c r="O42" i="122"/>
  <c r="P42" i="122" s="1"/>
  <c r="D42" i="122"/>
  <c r="S42" i="122"/>
  <c r="T42" i="122" s="1"/>
  <c r="J34" i="114"/>
  <c r="Z38" i="124" l="1"/>
  <c r="AA36" i="115"/>
  <c r="AG36" i="115" s="1"/>
  <c r="L33" i="114"/>
  <c r="AK37" i="115"/>
  <c r="AL37" i="115" s="1"/>
  <c r="AT38" i="115"/>
  <c r="G38" i="115"/>
  <c r="K34" i="114"/>
  <c r="AQ38" i="115"/>
  <c r="M39" i="115"/>
  <c r="N39" i="115" s="1"/>
  <c r="AU39" i="115" s="1"/>
  <c r="M40" i="123"/>
  <c r="N40" i="123" s="1"/>
  <c r="Q40" i="123"/>
  <c r="R40" i="123" s="1"/>
  <c r="E40" i="115" s="1"/>
  <c r="R39" i="124"/>
  <c r="Q39" i="124"/>
  <c r="G41" i="122"/>
  <c r="F41" i="123" s="1"/>
  <c r="E41" i="123"/>
  <c r="G41" i="123"/>
  <c r="F41" i="115" s="1"/>
  <c r="O36" i="125"/>
  <c r="H36" i="125"/>
  <c r="G36" i="125"/>
  <c r="N36" i="125"/>
  <c r="F36" i="125"/>
  <c r="M36" i="125"/>
  <c r="E36" i="125"/>
  <c r="D36" i="125"/>
  <c r="K36" i="125"/>
  <c r="J36" i="125"/>
  <c r="I36" i="125"/>
  <c r="L36" i="125"/>
  <c r="AG37" i="124"/>
  <c r="AH37" i="124" s="1"/>
  <c r="AI37" i="124" s="1"/>
  <c r="AJ38" i="124"/>
  <c r="AL38" i="124" s="1"/>
  <c r="AO38" i="124" s="1"/>
  <c r="AB38" i="124"/>
  <c r="AD38" i="124" s="1"/>
  <c r="I40" i="124"/>
  <c r="F42" i="124"/>
  <c r="C41" i="124"/>
  <c r="H41" i="124"/>
  <c r="S41" i="124"/>
  <c r="K39" i="124"/>
  <c r="E35" i="114"/>
  <c r="H42" i="115"/>
  <c r="J41" i="115"/>
  <c r="K41" i="115" s="1"/>
  <c r="G37" i="114" s="1"/>
  <c r="F37" i="114"/>
  <c r="X40" i="115"/>
  <c r="Y40" i="115"/>
  <c r="M41" i="122"/>
  <c r="N41" i="122" s="1"/>
  <c r="H44" i="122"/>
  <c r="J43" i="122"/>
  <c r="K43" i="122" s="1"/>
  <c r="F42" i="122"/>
  <c r="E42" i="122"/>
  <c r="H35" i="114"/>
  <c r="AM37" i="115" l="1"/>
  <c r="L41" i="123"/>
  <c r="S38" i="115"/>
  <c r="T38" i="115" s="1"/>
  <c r="E34" i="114"/>
  <c r="T39" i="124"/>
  <c r="AH39" i="115"/>
  <c r="AQ39" i="115" s="1"/>
  <c r="AF39" i="115"/>
  <c r="AG39" i="115" s="1"/>
  <c r="AT39" i="115"/>
  <c r="L32" i="114"/>
  <c r="AS36" i="115"/>
  <c r="AV36" i="115" s="1"/>
  <c r="N32" i="114" s="1"/>
  <c r="AK36" i="115"/>
  <c r="AP37" i="124"/>
  <c r="AN37" i="115"/>
  <c r="AO37" i="115" s="1"/>
  <c r="AP37" i="115" s="1"/>
  <c r="C37" i="125"/>
  <c r="D41" i="124"/>
  <c r="E41" i="124"/>
  <c r="J40" i="124"/>
  <c r="L40" i="124"/>
  <c r="M40" i="124" s="1"/>
  <c r="P40" i="124"/>
  <c r="AA39" i="124"/>
  <c r="AN39" i="124"/>
  <c r="AM39" i="124"/>
  <c r="Y39" i="124"/>
  <c r="Z39" i="124" s="1"/>
  <c r="AF38" i="124"/>
  <c r="AE38" i="124"/>
  <c r="G42" i="124"/>
  <c r="I42" i="115"/>
  <c r="C42" i="115"/>
  <c r="C38" i="114" s="1"/>
  <c r="K38" i="114" s="1"/>
  <c r="AA40" i="115"/>
  <c r="W41" i="115"/>
  <c r="Z41" i="115" s="1"/>
  <c r="O41" i="115"/>
  <c r="P41" i="115" s="1"/>
  <c r="S41" i="115"/>
  <c r="T41" i="115" s="1"/>
  <c r="D41" i="115"/>
  <c r="L40" i="115"/>
  <c r="H36" i="114" s="1"/>
  <c r="D36" i="114"/>
  <c r="Q41" i="123"/>
  <c r="R41" i="123" s="1"/>
  <c r="M41" i="123"/>
  <c r="N41" i="123" s="1"/>
  <c r="J35" i="114"/>
  <c r="L42" i="122"/>
  <c r="M42" i="122" s="1"/>
  <c r="N42" i="122" s="1"/>
  <c r="C44" i="122"/>
  <c r="I44" i="122"/>
  <c r="D43" i="122"/>
  <c r="S43" i="122"/>
  <c r="T43" i="122" s="1"/>
  <c r="W43" i="122"/>
  <c r="O43" i="122"/>
  <c r="P43" i="122" s="1"/>
  <c r="I35" i="114"/>
  <c r="E41" i="115" l="1"/>
  <c r="AS39" i="115"/>
  <c r="AV39" i="115" s="1"/>
  <c r="AI39" i="115"/>
  <c r="AK39" i="115" s="1"/>
  <c r="AM39" i="115" s="1"/>
  <c r="AL36" i="115"/>
  <c r="AM36" i="115"/>
  <c r="AN36" i="115" s="1"/>
  <c r="AO36" i="115" s="1"/>
  <c r="AP36" i="115" s="1"/>
  <c r="X38" i="115"/>
  <c r="Y38" i="115"/>
  <c r="R40" i="124"/>
  <c r="Q40" i="124"/>
  <c r="O37" i="125"/>
  <c r="M37" i="125"/>
  <c r="E37" i="125"/>
  <c r="I37" i="125"/>
  <c r="L37" i="125"/>
  <c r="D37" i="125"/>
  <c r="K37" i="125"/>
  <c r="J37" i="125"/>
  <c r="H37" i="125"/>
  <c r="G37" i="125"/>
  <c r="N37" i="125"/>
  <c r="F37" i="125"/>
  <c r="AW37" i="115"/>
  <c r="O33" i="114" s="1"/>
  <c r="M33" i="114"/>
  <c r="AG38" i="124"/>
  <c r="AH38" i="124" s="1"/>
  <c r="AI38" i="124" s="1"/>
  <c r="I41" i="124"/>
  <c r="C42" i="124"/>
  <c r="F43" i="124"/>
  <c r="H42" i="124"/>
  <c r="S42" i="124"/>
  <c r="K40" i="124"/>
  <c r="AB39" i="124"/>
  <c r="AD39" i="124" s="1"/>
  <c r="AJ39" i="124"/>
  <c r="AL39" i="124" s="1"/>
  <c r="AO39" i="124" s="1"/>
  <c r="Y41" i="115"/>
  <c r="X41" i="115"/>
  <c r="M40" i="115"/>
  <c r="N40" i="115" s="1"/>
  <c r="Q40" i="115"/>
  <c r="R40" i="115" s="1"/>
  <c r="G40" i="115" s="1"/>
  <c r="L41" i="115"/>
  <c r="H43" i="115"/>
  <c r="J42" i="115"/>
  <c r="K42" i="115" s="1"/>
  <c r="F38" i="114"/>
  <c r="Q42" i="122"/>
  <c r="R42" i="122" s="1"/>
  <c r="J44" i="122"/>
  <c r="K44" i="122" s="1"/>
  <c r="F43" i="122"/>
  <c r="E43" i="122"/>
  <c r="L35" i="114"/>
  <c r="AL39" i="115" l="1"/>
  <c r="AA38" i="115"/>
  <c r="AG38" i="115" s="1"/>
  <c r="AW36" i="115"/>
  <c r="O32" i="114" s="1"/>
  <c r="P32" i="114" s="1"/>
  <c r="M32" i="114"/>
  <c r="T40" i="124"/>
  <c r="G42" i="122"/>
  <c r="E42" i="123"/>
  <c r="G42" i="123"/>
  <c r="F42" i="115" s="1"/>
  <c r="D37" i="114"/>
  <c r="AA41" i="115"/>
  <c r="AP38" i="124"/>
  <c r="C38" i="125"/>
  <c r="D42" i="124"/>
  <c r="E42" i="124"/>
  <c r="AN40" i="124"/>
  <c r="AA40" i="124"/>
  <c r="AM40" i="124"/>
  <c r="Y40" i="124"/>
  <c r="L41" i="124"/>
  <c r="M41" i="124" s="1"/>
  <c r="J41" i="124"/>
  <c r="P41" i="124"/>
  <c r="AE39" i="124"/>
  <c r="AF39" i="124"/>
  <c r="G43" i="124"/>
  <c r="AN39" i="115"/>
  <c r="AO39" i="115" s="1"/>
  <c r="AP39" i="115" s="1"/>
  <c r="AW39" i="115" s="1"/>
  <c r="AT40" i="115"/>
  <c r="AH40" i="115"/>
  <c r="AU40" i="115"/>
  <c r="AF40" i="115"/>
  <c r="AG40" i="115" s="1"/>
  <c r="I43" i="115"/>
  <c r="C43" i="115"/>
  <c r="C39" i="114" s="1"/>
  <c r="K39" i="114" s="1"/>
  <c r="I36" i="114"/>
  <c r="J36" i="114"/>
  <c r="S42" i="115"/>
  <c r="T42" i="115" s="1"/>
  <c r="W42" i="115"/>
  <c r="Z42" i="115" s="1"/>
  <c r="O42" i="115"/>
  <c r="P42" i="115" s="1"/>
  <c r="D42" i="115"/>
  <c r="G38" i="114"/>
  <c r="Q41" i="115"/>
  <c r="R41" i="115" s="1"/>
  <c r="G41" i="115" s="1"/>
  <c r="M41" i="115"/>
  <c r="N41" i="115" s="1"/>
  <c r="E36" i="114"/>
  <c r="L43" i="122"/>
  <c r="M43" i="122" s="1"/>
  <c r="N43" i="122" s="1"/>
  <c r="D44" i="122"/>
  <c r="S44" i="122"/>
  <c r="T44" i="122" s="1"/>
  <c r="W44" i="122"/>
  <c r="O44" i="122"/>
  <c r="P44" i="122" s="1"/>
  <c r="N35" i="114"/>
  <c r="Z40" i="124" l="1"/>
  <c r="AS38" i="115"/>
  <c r="AV38" i="115" s="1"/>
  <c r="N34" i="114" s="1"/>
  <c r="L34" i="114"/>
  <c r="AK38" i="115"/>
  <c r="P33" i="114"/>
  <c r="Q41" i="124"/>
  <c r="R41" i="124"/>
  <c r="F42" i="123"/>
  <c r="L42" i="123" s="1"/>
  <c r="Q43" i="122"/>
  <c r="R43" i="122" s="1"/>
  <c r="O38" i="125"/>
  <c r="J38" i="125"/>
  <c r="I38" i="125"/>
  <c r="H38" i="125"/>
  <c r="G38" i="125"/>
  <c r="M38" i="125"/>
  <c r="E38" i="125"/>
  <c r="N38" i="125"/>
  <c r="L38" i="125"/>
  <c r="D38" i="125"/>
  <c r="K38" i="125"/>
  <c r="F38" i="125"/>
  <c r="AG39" i="124"/>
  <c r="AH39" i="124" s="1"/>
  <c r="AI39" i="124" s="1"/>
  <c r="AP39" i="124" s="1"/>
  <c r="AJ40" i="124"/>
  <c r="AL40" i="124" s="1"/>
  <c r="AO40" i="124" s="1"/>
  <c r="AB40" i="124"/>
  <c r="AD40" i="124" s="1"/>
  <c r="K41" i="124"/>
  <c r="I42" i="124"/>
  <c r="F44" i="124"/>
  <c r="C43" i="124"/>
  <c r="H43" i="124"/>
  <c r="S43" i="124"/>
  <c r="AT41" i="115"/>
  <c r="AH41" i="115"/>
  <c r="AU41" i="115"/>
  <c r="AF41" i="115"/>
  <c r="AG41" i="115" s="1"/>
  <c r="H44" i="115"/>
  <c r="J43" i="115"/>
  <c r="K43" i="115" s="1"/>
  <c r="G39" i="114" s="1"/>
  <c r="F39" i="114"/>
  <c r="X42" i="115"/>
  <c r="Y42" i="115"/>
  <c r="AI40" i="115"/>
  <c r="AK40" i="115" s="1"/>
  <c r="AQ40" i="115"/>
  <c r="AS40" i="115" s="1"/>
  <c r="AV40" i="115" s="1"/>
  <c r="H37" i="114"/>
  <c r="F44" i="122"/>
  <c r="E44" i="122"/>
  <c r="M35" i="114"/>
  <c r="L36" i="114"/>
  <c r="AL38" i="115" l="1"/>
  <c r="AM38" i="115"/>
  <c r="AN38" i="115" s="1"/>
  <c r="AO38" i="115" s="1"/>
  <c r="AP38" i="115" s="1"/>
  <c r="T41" i="124"/>
  <c r="M42" i="123"/>
  <c r="N42" i="123" s="1"/>
  <c r="Q42" i="123"/>
  <c r="R42" i="123" s="1"/>
  <c r="E42" i="115" s="1"/>
  <c r="L42" i="115" s="1"/>
  <c r="Q42" i="115" s="1"/>
  <c r="R42" i="115" s="1"/>
  <c r="G42" i="115" s="1"/>
  <c r="G43" i="122"/>
  <c r="F43" i="123" s="1"/>
  <c r="G43" i="123"/>
  <c r="F43" i="115" s="1"/>
  <c r="E43" i="123"/>
  <c r="L43" i="123" s="1"/>
  <c r="M43" i="123" s="1"/>
  <c r="N43" i="123" s="1"/>
  <c r="AE40" i="124"/>
  <c r="AF40" i="124"/>
  <c r="AM41" i="124"/>
  <c r="AN41" i="124"/>
  <c r="AA41" i="124"/>
  <c r="Y41" i="124"/>
  <c r="Z41" i="124" s="1"/>
  <c r="C39" i="125"/>
  <c r="D43" i="124"/>
  <c r="E43" i="124"/>
  <c r="P42" i="124"/>
  <c r="L42" i="124"/>
  <c r="M42" i="124" s="1"/>
  <c r="J42" i="124"/>
  <c r="G44" i="124"/>
  <c r="L44" i="122"/>
  <c r="M44" i="122" s="1"/>
  <c r="N44" i="122" s="1"/>
  <c r="AA42" i="115"/>
  <c r="M42" i="115"/>
  <c r="N42" i="115" s="1"/>
  <c r="AM40" i="115"/>
  <c r="AL40" i="115"/>
  <c r="O43" i="115"/>
  <c r="P43" i="115" s="1"/>
  <c r="W43" i="115"/>
  <c r="Z43" i="115" s="1"/>
  <c r="S43" i="115"/>
  <c r="T43" i="115" s="1"/>
  <c r="D43" i="115"/>
  <c r="AI41" i="115"/>
  <c r="AK41" i="115" s="1"/>
  <c r="AQ41" i="115"/>
  <c r="AS41" i="115" s="1"/>
  <c r="AV41" i="115" s="1"/>
  <c r="I44" i="115"/>
  <c r="C44" i="115"/>
  <c r="C40" i="114" s="1"/>
  <c r="K40" i="114" s="1"/>
  <c r="I37" i="114"/>
  <c r="J37" i="114"/>
  <c r="E37" i="114"/>
  <c r="O35" i="114"/>
  <c r="N36" i="114"/>
  <c r="D38" i="114" l="1"/>
  <c r="AW38" i="115"/>
  <c r="O34" i="114" s="1"/>
  <c r="P34" i="114" s="1"/>
  <c r="M34" i="114"/>
  <c r="Q43" i="123"/>
  <c r="R43" i="123" s="1"/>
  <c r="E43" i="115" s="1"/>
  <c r="R42" i="124"/>
  <c r="Q42" i="124"/>
  <c r="O39" i="125"/>
  <c r="G39" i="125"/>
  <c r="N39" i="125"/>
  <c r="F39" i="125"/>
  <c r="M39" i="125"/>
  <c r="E39" i="125"/>
  <c r="K39" i="125"/>
  <c r="L39" i="125"/>
  <c r="D39" i="125"/>
  <c r="J39" i="125"/>
  <c r="I39" i="125"/>
  <c r="H39" i="125"/>
  <c r="AG40" i="124"/>
  <c r="AH40" i="124" s="1"/>
  <c r="AI40" i="124" s="1"/>
  <c r="AP40" i="124" s="1"/>
  <c r="Q44" i="122"/>
  <c r="R44" i="122" s="1"/>
  <c r="I43" i="124"/>
  <c r="AJ41" i="124"/>
  <c r="AL41" i="124" s="1"/>
  <c r="AO41" i="124" s="1"/>
  <c r="AB41" i="124"/>
  <c r="AD41" i="124" s="1"/>
  <c r="H44" i="124"/>
  <c r="C44" i="124"/>
  <c r="S44" i="124"/>
  <c r="K42" i="124"/>
  <c r="AN40" i="115"/>
  <c r="AO40" i="115" s="1"/>
  <c r="AP40" i="115" s="1"/>
  <c r="AW40" i="115" s="1"/>
  <c r="Y43" i="115"/>
  <c r="X43" i="115"/>
  <c r="J44" i="115"/>
  <c r="K44" i="115" s="1"/>
  <c r="F40" i="114"/>
  <c r="AM41" i="115"/>
  <c r="AL41" i="115"/>
  <c r="AU42" i="115"/>
  <c r="AT42" i="115"/>
  <c r="AH42" i="115"/>
  <c r="AF42" i="115"/>
  <c r="AG42" i="115" s="1"/>
  <c r="H38" i="114"/>
  <c r="L37" i="114"/>
  <c r="T42" i="124" l="1"/>
  <c r="G44" i="122"/>
  <c r="E44" i="123"/>
  <c r="G44" i="123"/>
  <c r="F44" i="115" s="1"/>
  <c r="M36" i="114"/>
  <c r="AA43" i="115"/>
  <c r="AF41" i="124"/>
  <c r="AE41" i="124"/>
  <c r="AM42" i="124"/>
  <c r="AN42" i="124"/>
  <c r="AA42" i="124"/>
  <c r="Y42" i="124"/>
  <c r="Z42" i="124" s="1"/>
  <c r="D44" i="124"/>
  <c r="C40" i="125"/>
  <c r="E44" i="124"/>
  <c r="J43" i="124"/>
  <c r="P43" i="124"/>
  <c r="L43" i="124"/>
  <c r="M43" i="124" s="1"/>
  <c r="AN41" i="115"/>
  <c r="AO41" i="115" s="1"/>
  <c r="AP41" i="115" s="1"/>
  <c r="AW41" i="115" s="1"/>
  <c r="S44" i="115"/>
  <c r="T44" i="115" s="1"/>
  <c r="O44" i="115"/>
  <c r="P44" i="115" s="1"/>
  <c r="W44" i="115"/>
  <c r="Z44" i="115" s="1"/>
  <c r="D44" i="115"/>
  <c r="G40" i="114"/>
  <c r="L43" i="115"/>
  <c r="H39" i="114" s="1"/>
  <c r="D39" i="114"/>
  <c r="AQ42" i="115"/>
  <c r="AS42" i="115" s="1"/>
  <c r="AV42" i="115" s="1"/>
  <c r="AI42" i="115"/>
  <c r="AK42" i="115" s="1"/>
  <c r="I38" i="114"/>
  <c r="N37" i="114"/>
  <c r="E38" i="114"/>
  <c r="O36" i="114"/>
  <c r="P36" i="114" s="1"/>
  <c r="R43" i="124" l="1"/>
  <c r="Q43" i="124"/>
  <c r="F44" i="123"/>
  <c r="L44" i="123" s="1"/>
  <c r="O40" i="125"/>
  <c r="L40" i="125"/>
  <c r="D40" i="125"/>
  <c r="K40" i="125"/>
  <c r="J40" i="125"/>
  <c r="I40" i="125"/>
  <c r="G40" i="125"/>
  <c r="N40" i="125"/>
  <c r="F40" i="125"/>
  <c r="M40" i="125"/>
  <c r="E40" i="125"/>
  <c r="H40" i="125"/>
  <c r="AG41" i="124"/>
  <c r="AH41" i="124" s="1"/>
  <c r="AI41" i="124" s="1"/>
  <c r="AP41" i="124" s="1"/>
  <c r="K43" i="124"/>
  <c r="I44" i="124"/>
  <c r="AJ42" i="124"/>
  <c r="AL42" i="124" s="1"/>
  <c r="AO42" i="124" s="1"/>
  <c r="AB42" i="124"/>
  <c r="AD42" i="124" s="1"/>
  <c r="Y44" i="115"/>
  <c r="X44" i="115"/>
  <c r="Q43" i="115"/>
  <c r="R43" i="115" s="1"/>
  <c r="G43" i="115" s="1"/>
  <c r="M43" i="115"/>
  <c r="N43" i="115" s="1"/>
  <c r="AM42" i="115"/>
  <c r="AL42" i="115"/>
  <c r="J38" i="114"/>
  <c r="M37" i="114"/>
  <c r="L38" i="114"/>
  <c r="T43" i="124" l="1"/>
  <c r="M44" i="123"/>
  <c r="N44" i="123" s="1"/>
  <c r="Q44" i="123"/>
  <c r="R44" i="123" s="1"/>
  <c r="E44" i="115" s="1"/>
  <c r="L44" i="115" s="1"/>
  <c r="Q44" i="115" s="1"/>
  <c r="R44" i="115" s="1"/>
  <c r="G44" i="115" s="1"/>
  <c r="AA44" i="115"/>
  <c r="AN42" i="115"/>
  <c r="AO42" i="115" s="1"/>
  <c r="AP42" i="115" s="1"/>
  <c r="AW42" i="115" s="1"/>
  <c r="AF42" i="124"/>
  <c r="AE42" i="124"/>
  <c r="P44" i="124"/>
  <c r="L44" i="124"/>
  <c r="M44" i="124" s="1"/>
  <c r="J44" i="124"/>
  <c r="AM43" i="124"/>
  <c r="AA43" i="124"/>
  <c r="AN43" i="124"/>
  <c r="Y43" i="124"/>
  <c r="Z43" i="124" s="1"/>
  <c r="AH43" i="115"/>
  <c r="AT43" i="115"/>
  <c r="AU43" i="115"/>
  <c r="AF43" i="115"/>
  <c r="AG43" i="115" s="1"/>
  <c r="E39" i="114"/>
  <c r="J39" i="114"/>
  <c r="I39" i="114"/>
  <c r="O37" i="114"/>
  <c r="P37" i="114" s="1"/>
  <c r="N38" i="114"/>
  <c r="M44" i="115" l="1"/>
  <c r="N44" i="115" s="1"/>
  <c r="D40" i="114"/>
  <c r="R44" i="124"/>
  <c r="Q44" i="124"/>
  <c r="AH44" i="115"/>
  <c r="AQ44" i="115" s="1"/>
  <c r="AT44" i="115"/>
  <c r="AG42" i="124"/>
  <c r="AH42" i="124" s="1"/>
  <c r="AI42" i="124" s="1"/>
  <c r="AP42" i="124" s="1"/>
  <c r="K44" i="124"/>
  <c r="AB43" i="124"/>
  <c r="AD43" i="124" s="1"/>
  <c r="AJ43" i="124"/>
  <c r="AL43" i="124" s="1"/>
  <c r="AO43" i="124" s="1"/>
  <c r="AQ43" i="115"/>
  <c r="AS43" i="115" s="1"/>
  <c r="AV43" i="115" s="1"/>
  <c r="AI43" i="115"/>
  <c r="AK43" i="115" s="1"/>
  <c r="H40" i="114"/>
  <c r="M38" i="114"/>
  <c r="T44" i="124" l="1"/>
  <c r="AU44" i="115"/>
  <c r="AF44" i="115"/>
  <c r="AI44" i="115"/>
  <c r="AF43" i="124"/>
  <c r="AE43" i="124"/>
  <c r="AM44" i="124"/>
  <c r="AN44" i="124"/>
  <c r="AA44" i="124"/>
  <c r="Y44" i="124"/>
  <c r="Z44" i="124" s="1"/>
  <c r="AM43" i="115"/>
  <c r="AL43" i="115"/>
  <c r="I40" i="114"/>
  <c r="E40" i="114"/>
  <c r="J40" i="114"/>
  <c r="O38" i="114"/>
  <c r="P38" i="114" s="1"/>
  <c r="L39" i="114"/>
  <c r="AG44" i="115" l="1"/>
  <c r="AK44" i="115" s="1"/>
  <c r="AN43" i="115"/>
  <c r="AO43" i="115" s="1"/>
  <c r="AP43" i="115" s="1"/>
  <c r="AW43" i="115" s="1"/>
  <c r="AG43" i="124"/>
  <c r="AH43" i="124" s="1"/>
  <c r="AI43" i="124" s="1"/>
  <c r="AP43" i="124" s="1"/>
  <c r="AJ44" i="124"/>
  <c r="AL44" i="124" s="1"/>
  <c r="AO44" i="124" s="1"/>
  <c r="AB44" i="124"/>
  <c r="AD44" i="124" s="1"/>
  <c r="N39" i="114"/>
  <c r="AM44" i="115" l="1"/>
  <c r="AL44" i="115"/>
  <c r="L40" i="114"/>
  <c r="AS44" i="115"/>
  <c r="AV44" i="115" s="1"/>
  <c r="N40" i="114" s="1"/>
  <c r="AE44" i="124"/>
  <c r="AF44" i="124"/>
  <c r="M39" i="114"/>
  <c r="AN44" i="115" l="1"/>
  <c r="AO44" i="115" s="1"/>
  <c r="AP44" i="115" s="1"/>
  <c r="AW44" i="115" s="1"/>
  <c r="AG44" i="124"/>
  <c r="AH44" i="124" s="1"/>
  <c r="AI44" i="124" s="1"/>
  <c r="O39" i="114"/>
  <c r="P39" i="114" s="1"/>
  <c r="M40" i="114" l="1"/>
  <c r="AP44" i="124"/>
  <c r="O40" i="114"/>
  <c r="P40" i="114" s="1"/>
  <c r="L24" i="114" l="1"/>
  <c r="L22" i="114"/>
  <c r="N23" i="114" l="1"/>
  <c r="L23" i="114"/>
  <c r="N24" i="114"/>
  <c r="N22" i="114"/>
  <c r="M23" i="114" l="1"/>
  <c r="M24" i="114"/>
  <c r="M22" i="114"/>
  <c r="O22" i="114" l="1"/>
  <c r="P22" i="114" s="1"/>
  <c r="O23" i="114"/>
  <c r="O24" i="114"/>
  <c r="P23" i="114" l="1"/>
  <c r="P24" i="114"/>
  <c r="P25" i="114"/>
  <c r="O12" i="125" l="1"/>
  <c r="G11" i="114"/>
  <c r="F11" i="114"/>
  <c r="Q15" i="115" l="1"/>
  <c r="R15" i="115" s="1"/>
  <c r="G15" i="115" s="1"/>
  <c r="H11" i="114"/>
  <c r="I11" i="114" s="1"/>
  <c r="K11" i="114" l="1"/>
  <c r="AF15" i="115"/>
  <c r="AT15" i="115"/>
  <c r="AH15" i="115"/>
  <c r="AI15" i="115" s="1"/>
  <c r="AU15" i="115"/>
  <c r="J11" i="114"/>
  <c r="AQ15" i="115" l="1"/>
  <c r="E11" i="114" l="1"/>
  <c r="S15" i="115"/>
  <c r="T15" i="115" s="1"/>
  <c r="Z15" i="115" s="1"/>
  <c r="Y15" i="115" l="1"/>
  <c r="X15" i="115"/>
  <c r="AA15" i="115" l="1"/>
  <c r="AG15" i="115" s="1"/>
  <c r="L11" i="114" s="1"/>
  <c r="AK15" i="115" l="1"/>
  <c r="AL15" i="115" s="1"/>
  <c r="AS15" i="115"/>
  <c r="AV15" i="115" s="1"/>
  <c r="N11" i="114" s="1"/>
  <c r="AM15" i="115" l="1"/>
  <c r="AN15" i="115" s="1"/>
  <c r="AO15" i="115" s="1"/>
  <c r="AP15" i="115" s="1"/>
  <c r="M11" i="114" s="1"/>
  <c r="AW15" i="115" l="1"/>
  <c r="O11" i="114" s="1"/>
  <c r="P12" i="114" s="1"/>
</calcChain>
</file>

<file path=xl/sharedStrings.xml><?xml version="1.0" encoding="utf-8"?>
<sst xmlns="http://schemas.openxmlformats.org/spreadsheetml/2006/main" count="888" uniqueCount="389">
  <si>
    <t>標準報酬月額</t>
    <rPh sb="0" eb="2">
      <t>ヒョウジュン</t>
    </rPh>
    <rPh sb="2" eb="4">
      <t>ホウシュウ</t>
    </rPh>
    <rPh sb="4" eb="6">
      <t>ゲツガク</t>
    </rPh>
    <phoneticPr fontId="3"/>
  </si>
  <si>
    <t>標準報酬</t>
  </si>
  <si>
    <t xml:space="preserve"> 等級</t>
  </si>
  <si>
    <t>月額</t>
  </si>
  <si>
    <t>報酬月額</t>
  </si>
  <si>
    <t>健康保険</t>
  </si>
  <si>
    <t>うち</t>
  </si>
  <si>
    <t>厚生年金</t>
  </si>
  <si>
    <t>健</t>
  </si>
  <si>
    <t>厚</t>
  </si>
  <si>
    <t>介護なし</t>
  </si>
  <si>
    <t>介護あり</t>
  </si>
  <si>
    <t>介護保険</t>
  </si>
  <si>
    <t>一般</t>
  </si>
  <si>
    <t>以上</t>
  </si>
  <si>
    <t>未満</t>
  </si>
  <si>
    <t>参照セル</t>
    <rPh sb="0" eb="2">
      <t>サンショウ</t>
    </rPh>
    <phoneticPr fontId="3"/>
  </si>
  <si>
    <t>標準
報酬額月額</t>
    <rPh sb="0" eb="2">
      <t>ヒョウジュン</t>
    </rPh>
    <rPh sb="3" eb="6">
      <t>ホウシュウガク</t>
    </rPh>
    <rPh sb="6" eb="8">
      <t>ゲツガク</t>
    </rPh>
    <phoneticPr fontId="3"/>
  </si>
  <si>
    <t>Ｎｏ．</t>
    <phoneticPr fontId="3"/>
  </si>
  <si>
    <t>年齢</t>
    <rPh sb="0" eb="2">
      <t>ネンレイ</t>
    </rPh>
    <phoneticPr fontId="3"/>
  </si>
  <si>
    <t>税率</t>
    <rPh sb="0" eb="2">
      <t>ゼイリツ</t>
    </rPh>
    <phoneticPr fontId="3"/>
  </si>
  <si>
    <t>保険料率</t>
    <rPh sb="0" eb="3">
      <t>ホケンリョウ</t>
    </rPh>
    <rPh sb="3" eb="4">
      <t>リツ</t>
    </rPh>
    <phoneticPr fontId="3"/>
  </si>
  <si>
    <t>（注）上記端数計算は、四捨五入処理をしています。</t>
    <rPh sb="1" eb="2">
      <t>チュウ</t>
    </rPh>
    <rPh sb="3" eb="5">
      <t>ジョウキ</t>
    </rPh>
    <rPh sb="5" eb="7">
      <t>ハスウ</t>
    </rPh>
    <rPh sb="7" eb="9">
      <t>ケイサン</t>
    </rPh>
    <rPh sb="11" eb="15">
      <t>シシャゴニュウ</t>
    </rPh>
    <rPh sb="15" eb="17">
      <t>ショリ</t>
    </rPh>
    <phoneticPr fontId="3"/>
  </si>
  <si>
    <t>標準報酬月額・保険料表</t>
    <phoneticPr fontId="3"/>
  </si>
  <si>
    <t>保険料（被保険者負担分）２分の１処理</t>
    <rPh sb="13" eb="14">
      <t>ブン</t>
    </rPh>
    <rPh sb="16" eb="18">
      <t>ショリ</t>
    </rPh>
    <phoneticPr fontId="3"/>
  </si>
  <si>
    <t>＜メイン参照データ＞</t>
    <rPh sb="4" eb="6">
      <t>サンショウ</t>
    </rPh>
    <phoneticPr fontId="3"/>
  </si>
  <si>
    <t>給与月額</t>
    <rPh sb="0" eb="2">
      <t>キュウヨ</t>
    </rPh>
    <rPh sb="2" eb="4">
      <t>ゲツガク</t>
    </rPh>
    <phoneticPr fontId="3"/>
  </si>
  <si>
    <t>青字＝入力セル</t>
    <rPh sb="0" eb="1">
      <t>アオ</t>
    </rPh>
    <rPh sb="1" eb="2">
      <t>ジ</t>
    </rPh>
    <rPh sb="3" eb="5">
      <t>ニュウリョク</t>
    </rPh>
    <phoneticPr fontId="3"/>
  </si>
  <si>
    <t>黒字＝自動計算セル</t>
    <rPh sb="0" eb="2">
      <t>クロジ</t>
    </rPh>
    <rPh sb="3" eb="5">
      <t>ジドウ</t>
    </rPh>
    <rPh sb="5" eb="7">
      <t>ケイサン</t>
    </rPh>
    <phoneticPr fontId="3"/>
  </si>
  <si>
    <t>入力画面</t>
    <rPh sb="0" eb="2">
      <t>ニュウリョク</t>
    </rPh>
    <rPh sb="2" eb="4">
      <t>ガメン</t>
    </rPh>
    <phoneticPr fontId="3"/>
  </si>
  <si>
    <t>＜参照表＞</t>
    <rPh sb="1" eb="3">
      <t>サンショウ</t>
    </rPh>
    <rPh sb="3" eb="4">
      <t>ヒョウ</t>
    </rPh>
    <phoneticPr fontId="3"/>
  </si>
  <si>
    <t>雇用保険料率</t>
    <rPh sb="0" eb="2">
      <t>コヨウ</t>
    </rPh>
    <rPh sb="2" eb="5">
      <t>ホケンリョウ</t>
    </rPh>
    <rPh sb="5" eb="6">
      <t>リツ</t>
    </rPh>
    <phoneticPr fontId="3"/>
  </si>
  <si>
    <t>様</t>
    <rPh sb="0" eb="1">
      <t>サマ</t>
    </rPh>
    <phoneticPr fontId="3"/>
  </si>
  <si>
    <t>介護保険料</t>
    <rPh sb="0" eb="2">
      <t>カイゴ</t>
    </rPh>
    <rPh sb="2" eb="5">
      <t>ホケンリョウ</t>
    </rPh>
    <phoneticPr fontId="3"/>
  </si>
  <si>
    <t>厚生年金</t>
    <rPh sb="0" eb="2">
      <t>コウセイ</t>
    </rPh>
    <rPh sb="2" eb="4">
      <t>ネンキン</t>
    </rPh>
    <phoneticPr fontId="3"/>
  </si>
  <si>
    <t>このソフトウェアは次のことを確認の上、自己責任でお使い下さい！</t>
    <rPh sb="9" eb="10">
      <t>ツギ</t>
    </rPh>
    <rPh sb="14" eb="16">
      <t>カクニン</t>
    </rPh>
    <rPh sb="17" eb="18">
      <t>ウエ</t>
    </rPh>
    <rPh sb="19" eb="21">
      <t>ジコ</t>
    </rPh>
    <rPh sb="21" eb="23">
      <t>セキニン</t>
    </rPh>
    <rPh sb="25" eb="26">
      <t>ツカ</t>
    </rPh>
    <rPh sb="27" eb="28">
      <t>クダ</t>
    </rPh>
    <phoneticPr fontId="3"/>
  </si>
  <si>
    <t>１．免責について</t>
    <rPh sb="2" eb="4">
      <t>メンセキ</t>
    </rPh>
    <phoneticPr fontId="3"/>
  </si>
  <si>
    <t>　あなたがこのソフトウェアをご利用になることで生じたいかなる損害に対しても、</t>
    <rPh sb="23" eb="24">
      <t>ショウ</t>
    </rPh>
    <rPh sb="30" eb="32">
      <t>ソンガイ</t>
    </rPh>
    <rPh sb="33" eb="34">
      <t>タイ</t>
    </rPh>
    <phoneticPr fontId="3"/>
  </si>
  <si>
    <t>当方は一切の補償はいたしません。</t>
    <rPh sb="0" eb="2">
      <t>トウホウ</t>
    </rPh>
    <rPh sb="3" eb="5">
      <t>イッサイ</t>
    </rPh>
    <rPh sb="6" eb="8">
      <t>ホショウ</t>
    </rPh>
    <phoneticPr fontId="3"/>
  </si>
  <si>
    <t>　このことを了解の上、利用者の責任でご使用下さい。</t>
    <rPh sb="6" eb="8">
      <t>リョウカイ</t>
    </rPh>
    <rPh sb="9" eb="10">
      <t>ウエ</t>
    </rPh>
    <rPh sb="11" eb="14">
      <t>リヨウシャ</t>
    </rPh>
    <rPh sb="15" eb="17">
      <t>セキニン</t>
    </rPh>
    <rPh sb="19" eb="21">
      <t>シヨウ</t>
    </rPh>
    <rPh sb="21" eb="22">
      <t>クダ</t>
    </rPh>
    <phoneticPr fontId="3"/>
  </si>
  <si>
    <t>３．第三者への配布禁止</t>
    <rPh sb="2" eb="5">
      <t>ダイサンシャ</t>
    </rPh>
    <rPh sb="7" eb="9">
      <t>ハイフ</t>
    </rPh>
    <rPh sb="9" eb="11">
      <t>キンシ</t>
    </rPh>
    <phoneticPr fontId="3"/>
  </si>
  <si>
    <t>　このソフトウェアを複製して第三者に配布することは禁止いたします。</t>
    <rPh sb="10" eb="12">
      <t>フクセイ</t>
    </rPh>
    <rPh sb="14" eb="17">
      <t>ダイサンシャ</t>
    </rPh>
    <rPh sb="18" eb="20">
      <t>ハイフ</t>
    </rPh>
    <rPh sb="25" eb="27">
      <t>キンシ</t>
    </rPh>
    <phoneticPr fontId="3"/>
  </si>
  <si>
    <t>横井人事労務サポート事務所</t>
    <rPh sb="0" eb="2">
      <t>ヨコイ</t>
    </rPh>
    <rPh sb="2" eb="4">
      <t>ジンジ</t>
    </rPh>
    <rPh sb="4" eb="6">
      <t>ロウム</t>
    </rPh>
    <rPh sb="10" eb="13">
      <t>ジムショ</t>
    </rPh>
    <phoneticPr fontId="3"/>
  </si>
  <si>
    <t>　　横　井　明　徳</t>
    <rPh sb="2" eb="3">
      <t>ヨコ</t>
    </rPh>
    <rPh sb="4" eb="5">
      <t>セイ</t>
    </rPh>
    <rPh sb="6" eb="7">
      <t>メイ</t>
    </rPh>
    <rPh sb="8" eb="9">
      <t>トク</t>
    </rPh>
    <phoneticPr fontId="3"/>
  </si>
  <si>
    <t>以上</t>
    <rPh sb="0" eb="2">
      <t>イジョウ</t>
    </rPh>
    <phoneticPr fontId="3"/>
  </si>
  <si>
    <t>＋</t>
    <phoneticPr fontId="3"/>
  </si>
  <si>
    <t>所得税</t>
    <rPh sb="0" eb="3">
      <t>ショトクゼイ</t>
    </rPh>
    <phoneticPr fontId="3"/>
  </si>
  <si>
    <t>時間給</t>
    <rPh sb="0" eb="3">
      <t>ジカンキュウ</t>
    </rPh>
    <phoneticPr fontId="3"/>
  </si>
  <si>
    <t>週所定労働時間</t>
    <rPh sb="0" eb="1">
      <t>シュウ</t>
    </rPh>
    <rPh sb="1" eb="7">
      <t>ショテイロウドウジカン</t>
    </rPh>
    <phoneticPr fontId="3"/>
  </si>
  <si>
    <t>以上</t>
    <phoneticPr fontId="3"/>
  </si>
  <si>
    <t>（注）健康保険料率は、平成21年9月から都道府県単位に設定されています（上記は大阪府の例）。</t>
    <rPh sb="1" eb="2">
      <t>チュウ</t>
    </rPh>
    <rPh sb="3" eb="5">
      <t>ケンコウ</t>
    </rPh>
    <rPh sb="5" eb="7">
      <t>ホケン</t>
    </rPh>
    <rPh sb="7" eb="8">
      <t>リョウ</t>
    </rPh>
    <rPh sb="8" eb="9">
      <t>リツ</t>
    </rPh>
    <rPh sb="11" eb="13">
      <t>ヘイセイ</t>
    </rPh>
    <rPh sb="15" eb="16">
      <t>ネン</t>
    </rPh>
    <rPh sb="17" eb="18">
      <t>ガツ</t>
    </rPh>
    <rPh sb="20" eb="24">
      <t>トドウフケン</t>
    </rPh>
    <rPh sb="24" eb="26">
      <t>タンイ</t>
    </rPh>
    <rPh sb="27" eb="29">
      <t>セッテイ</t>
    </rPh>
    <rPh sb="36" eb="38">
      <t>ジョウキ</t>
    </rPh>
    <rPh sb="39" eb="41">
      <t>オオサカ</t>
    </rPh>
    <rPh sb="41" eb="42">
      <t>フ</t>
    </rPh>
    <rPh sb="43" eb="44">
      <t>レイ</t>
    </rPh>
    <phoneticPr fontId="3"/>
  </si>
  <si>
    <t>（令和５年３月１日現在）</t>
    <rPh sb="1" eb="3">
      <t>レイワ</t>
    </rPh>
    <phoneticPr fontId="3"/>
  </si>
  <si>
    <t>給与等の収入金額</t>
    <rPh sb="0" eb="3">
      <t>キュウヨトウ</t>
    </rPh>
    <rPh sb="4" eb="8">
      <t>シュウニュウキンガク</t>
    </rPh>
    <phoneticPr fontId="3"/>
  </si>
  <si>
    <t>給与所得控除額</t>
    <rPh sb="0" eb="4">
      <t>キュウヨショトク</t>
    </rPh>
    <rPh sb="4" eb="6">
      <t>コウジョ</t>
    </rPh>
    <rPh sb="6" eb="7">
      <t>ガク</t>
    </rPh>
    <phoneticPr fontId="3"/>
  </si>
  <si>
    <t>迄</t>
    <rPh sb="0" eb="1">
      <t>マデ</t>
    </rPh>
    <phoneticPr fontId="3"/>
  </si>
  <si>
    <t>上限</t>
    <rPh sb="0" eb="2">
      <t>ジョウゲン</t>
    </rPh>
    <phoneticPr fontId="3"/>
  </si>
  <si>
    <t>基礎控除額</t>
    <rPh sb="0" eb="5">
      <t>キソコウジョガク</t>
    </rPh>
    <phoneticPr fontId="3"/>
  </si>
  <si>
    <t>×</t>
    <phoneticPr fontId="3"/>
  </si>
  <si>
    <t>※2400万円以下</t>
    <rPh sb="5" eb="6">
      <t>マン</t>
    </rPh>
    <rPh sb="6" eb="7">
      <t>エン</t>
    </rPh>
    <rPh sb="7" eb="9">
      <t>イカ</t>
    </rPh>
    <phoneticPr fontId="3"/>
  </si>
  <si>
    <r>
      <t>　　　※</t>
    </r>
    <r>
      <rPr>
        <b/>
        <u/>
        <sz val="11"/>
        <color theme="1"/>
        <rFont val="ＭＳ Ｐゴシック"/>
        <family val="3"/>
        <charset val="128"/>
      </rPr>
      <t>８５０万×0.1＋１１０万＝１９５万円</t>
    </r>
    <rPh sb="6" eb="7">
      <t>マン</t>
    </rPh>
    <rPh sb="13" eb="14">
      <t>マン</t>
    </rPh>
    <rPh sb="18" eb="19">
      <t>マン</t>
    </rPh>
    <rPh sb="19" eb="20">
      <t>エン</t>
    </rPh>
    <phoneticPr fontId="3"/>
  </si>
  <si>
    <t>　給与所得</t>
    <rPh sb="1" eb="5">
      <t>キュウヨショトク</t>
    </rPh>
    <phoneticPr fontId="3"/>
  </si>
  <si>
    <t>－</t>
    <phoneticPr fontId="3"/>
  </si>
  <si>
    <t>所得税計算の基礎となる所得</t>
    <rPh sb="0" eb="3">
      <t>ショトクゼイ</t>
    </rPh>
    <rPh sb="3" eb="5">
      <t>ケイサン</t>
    </rPh>
    <rPh sb="6" eb="8">
      <t>キソ</t>
    </rPh>
    <rPh sb="11" eb="13">
      <t>ショトク</t>
    </rPh>
    <phoneticPr fontId="3"/>
  </si>
  <si>
    <t>都府県民税</t>
    <rPh sb="0" eb="1">
      <t>ト</t>
    </rPh>
    <rPh sb="1" eb="2">
      <t>フ</t>
    </rPh>
    <rPh sb="2" eb="4">
      <t>ケンミン</t>
    </rPh>
    <rPh sb="4" eb="5">
      <t>ゼイ</t>
    </rPh>
    <phoneticPr fontId="3"/>
  </si>
  <si>
    <t>均等割</t>
    <rPh sb="0" eb="2">
      <t>キントウ</t>
    </rPh>
    <rPh sb="2" eb="3">
      <t>ワ</t>
    </rPh>
    <phoneticPr fontId="3"/>
  </si>
  <si>
    <t>所得割</t>
    <rPh sb="0" eb="3">
      <t>ショトクワリ</t>
    </rPh>
    <phoneticPr fontId="3"/>
  </si>
  <si>
    <t>区・市民税</t>
    <rPh sb="0" eb="1">
      <t>ク</t>
    </rPh>
    <rPh sb="2" eb="5">
      <t>シミンゼイ</t>
    </rPh>
    <phoneticPr fontId="3"/>
  </si>
  <si>
    <t>都道府県</t>
    <rPh sb="0" eb="4">
      <t>トドウフケン</t>
    </rPh>
    <phoneticPr fontId="3"/>
  </si>
  <si>
    <t>区・市町村</t>
    <rPh sb="0" eb="1">
      <t>ク</t>
    </rPh>
    <rPh sb="2" eb="5">
      <t>シチョウソン</t>
    </rPh>
    <phoneticPr fontId="3"/>
  </si>
  <si>
    <t>所属</t>
    <rPh sb="0" eb="2">
      <t>ショゾク</t>
    </rPh>
    <phoneticPr fontId="3"/>
  </si>
  <si>
    <t>作成日</t>
  </si>
  <si>
    <t>算定基準日▼</t>
    <phoneticPr fontId="3"/>
  </si>
  <si>
    <t>No.</t>
    <phoneticPr fontId="3"/>
  </si>
  <si>
    <t>男=1</t>
  </si>
  <si>
    <t>勤続</t>
    <rPh sb="0" eb="2">
      <t>キンゾク</t>
    </rPh>
    <phoneticPr fontId="3"/>
  </si>
  <si>
    <t>女=2</t>
  </si>
  <si>
    <t>年</t>
    <rPh sb="0" eb="1">
      <t>ネン</t>
    </rPh>
    <phoneticPr fontId="3"/>
  </si>
  <si>
    <t>月</t>
    <rPh sb="0" eb="1">
      <t>ツキ</t>
    </rPh>
    <phoneticPr fontId="3"/>
  </si>
  <si>
    <t>入社年月日</t>
    <rPh sb="0" eb="2">
      <t>ニュウシャ</t>
    </rPh>
    <rPh sb="2" eb="5">
      <t>ネンガッピ</t>
    </rPh>
    <phoneticPr fontId="3"/>
  </si>
  <si>
    <t>従業員番号</t>
    <rPh sb="0" eb="3">
      <t>ジュウギョウイン</t>
    </rPh>
    <rPh sb="3" eb="5">
      <t>バンゴウ</t>
    </rPh>
    <phoneticPr fontId="3"/>
  </si>
  <si>
    <t>標準報酬月額</t>
    <rPh sb="0" eb="2">
      <t>ヒョウジュン</t>
    </rPh>
    <rPh sb="2" eb="6">
      <t>ホウシュウゲツガク</t>
    </rPh>
    <phoneticPr fontId="3"/>
  </si>
  <si>
    <t>均等割</t>
    <rPh sb="0" eb="3">
      <t>キントウワ</t>
    </rPh>
    <phoneticPr fontId="3"/>
  </si>
  <si>
    <t>チェック</t>
    <phoneticPr fontId="3"/>
  </si>
  <si>
    <t>（令和５年４月１日現在）</t>
    <rPh sb="1" eb="3">
      <t>レイワ</t>
    </rPh>
    <phoneticPr fontId="3"/>
  </si>
  <si>
    <t>雇用保険料</t>
    <rPh sb="0" eb="2">
      <t>コヨウ</t>
    </rPh>
    <rPh sb="2" eb="5">
      <t>ホケンリョウ</t>
    </rPh>
    <phoneticPr fontId="3"/>
  </si>
  <si>
    <t>給与所得控除額</t>
    <rPh sb="0" eb="2">
      <t>キュウヨ</t>
    </rPh>
    <rPh sb="2" eb="6">
      <t>ショトクコウジョ</t>
    </rPh>
    <rPh sb="6" eb="7">
      <t>ガク</t>
    </rPh>
    <phoneticPr fontId="3"/>
  </si>
  <si>
    <t>速算控除</t>
    <rPh sb="0" eb="2">
      <t>ソクサン</t>
    </rPh>
    <rPh sb="2" eb="4">
      <t>コウジョ</t>
    </rPh>
    <phoneticPr fontId="3"/>
  </si>
  <si>
    <t>所得税率</t>
    <rPh sb="0" eb="2">
      <t>ショトク</t>
    </rPh>
    <rPh sb="2" eb="4">
      <t>ゼイリツ</t>
    </rPh>
    <phoneticPr fontId="3"/>
  </si>
  <si>
    <t>速算控除額</t>
    <rPh sb="0" eb="2">
      <t>ソクサン</t>
    </rPh>
    <rPh sb="2" eb="5">
      <t>コウジョガク</t>
    </rPh>
    <phoneticPr fontId="3"/>
  </si>
  <si>
    <t>給与所得の金額</t>
    <rPh sb="0" eb="2">
      <t>キュウヨ</t>
    </rPh>
    <rPh sb="2" eb="4">
      <t>ショトク</t>
    </rPh>
    <rPh sb="5" eb="7">
      <t>キンガク</t>
    </rPh>
    <phoneticPr fontId="3"/>
  </si>
  <si>
    <t>復興特別所得税</t>
    <phoneticPr fontId="3"/>
  </si>
  <si>
    <t xml:space="preserve">所得税・復興特別税	</t>
    <rPh sb="0" eb="3">
      <t>ショトクゼイ</t>
    </rPh>
    <rPh sb="4" eb="6">
      <t>フッコウ</t>
    </rPh>
    <rPh sb="6" eb="8">
      <t>トクベツ</t>
    </rPh>
    <rPh sb="8" eb="9">
      <t>ゼイ</t>
    </rPh>
    <phoneticPr fontId="3"/>
  </si>
  <si>
    <t>年齢チェック</t>
    <rPh sb="0" eb="2">
      <t>ネンレイ</t>
    </rPh>
    <phoneticPr fontId="3"/>
  </si>
  <si>
    <t>厚生年金
保険料/月</t>
    <rPh sb="0" eb="2">
      <t>コウセイ</t>
    </rPh>
    <rPh sb="2" eb="4">
      <t>ネンキン</t>
    </rPh>
    <rPh sb="5" eb="8">
      <t>ホケンリョウ</t>
    </rPh>
    <rPh sb="9" eb="10">
      <t>ツキ</t>
    </rPh>
    <phoneticPr fontId="3"/>
  </si>
  <si>
    <t>健康保険料/月</t>
    <rPh sb="0" eb="2">
      <t>ケンコウ</t>
    </rPh>
    <rPh sb="2" eb="5">
      <t>ホケンリョウ</t>
    </rPh>
    <phoneticPr fontId="3"/>
  </si>
  <si>
    <t>健康保険料・介護保険料/月</t>
    <rPh sb="0" eb="2">
      <t>ケンコウ</t>
    </rPh>
    <rPh sb="2" eb="5">
      <t>ホケンリョウ</t>
    </rPh>
    <rPh sb="6" eb="11">
      <t>カイゴホケンリョウ</t>
    </rPh>
    <phoneticPr fontId="3"/>
  </si>
  <si>
    <t>住民税均等割</t>
    <rPh sb="0" eb="3">
      <t>ジュウミンゼイ</t>
    </rPh>
    <rPh sb="3" eb="6">
      <t>キントウワ</t>
    </rPh>
    <phoneticPr fontId="3"/>
  </si>
  <si>
    <t>住民税所得割</t>
    <rPh sb="0" eb="3">
      <t>ジュウミンゼイ</t>
    </rPh>
    <rPh sb="3" eb="6">
      <t>ショトクワリ</t>
    </rPh>
    <phoneticPr fontId="3"/>
  </si>
  <si>
    <t>住民税均等割</t>
    <rPh sb="0" eb="3">
      <t>ジュウミンゼイ</t>
    </rPh>
    <rPh sb="3" eb="6">
      <t>キントウワリ</t>
    </rPh>
    <phoneticPr fontId="3"/>
  </si>
  <si>
    <t>通勤手当</t>
    <rPh sb="0" eb="4">
      <t>ツウキンテアテ</t>
    </rPh>
    <phoneticPr fontId="3"/>
  </si>
  <si>
    <t>年間見込み額</t>
    <rPh sb="0" eb="2">
      <t>ネンカン</t>
    </rPh>
    <rPh sb="2" eb="4">
      <t>ミコ</t>
    </rPh>
    <rPh sb="5" eb="6">
      <t>ガク</t>
    </rPh>
    <phoneticPr fontId="3"/>
  </si>
  <si>
    <t>月間見込み額</t>
    <rPh sb="0" eb="2">
      <t>ゲッカン</t>
    </rPh>
    <rPh sb="2" eb="4">
      <t>ミコ</t>
    </rPh>
    <rPh sb="5" eb="6">
      <t>ガク</t>
    </rPh>
    <phoneticPr fontId="3"/>
  </si>
  <si>
    <t>所定労働時間</t>
    <rPh sb="0" eb="2">
      <t>ショテイ</t>
    </rPh>
    <rPh sb="2" eb="4">
      <t>ロウドウ</t>
    </rPh>
    <rPh sb="4" eb="6">
      <t>ジカン</t>
    </rPh>
    <phoneticPr fontId="3"/>
  </si>
  <si>
    <t>役職手当</t>
    <rPh sb="0" eb="2">
      <t>ヤクショク</t>
    </rPh>
    <rPh sb="2" eb="4">
      <t>テアテ</t>
    </rPh>
    <phoneticPr fontId="3"/>
  </si>
  <si>
    <t>社会保険</t>
    <rPh sb="0" eb="4">
      <t>シャカイホケン</t>
    </rPh>
    <phoneticPr fontId="3"/>
  </si>
  <si>
    <t>ー</t>
    <phoneticPr fontId="3"/>
  </si>
  <si>
    <t>１ヵ月基本給与（月収）</t>
    <rPh sb="0" eb="3">
      <t>イッカゲツ</t>
    </rPh>
    <rPh sb="3" eb="5">
      <t>キホン</t>
    </rPh>
    <rPh sb="5" eb="7">
      <t>キュウヨ</t>
    </rPh>
    <rPh sb="8" eb="10">
      <t>ゲッシュウ</t>
    </rPh>
    <phoneticPr fontId="3"/>
  </si>
  <si>
    <t>雇用保険料</t>
    <rPh sb="0" eb="5">
      <t>コヨウホケンリョウ</t>
    </rPh>
    <phoneticPr fontId="3"/>
  </si>
  <si>
    <t>社会保険加入条件チェック</t>
    <rPh sb="0" eb="6">
      <t>シャカイホケンカニュウ</t>
    </rPh>
    <rPh sb="6" eb="8">
      <t>ジョウケン</t>
    </rPh>
    <phoneticPr fontId="3"/>
  </si>
  <si>
    <t>小計</t>
    <rPh sb="0" eb="2">
      <t>ショウケイ</t>
    </rPh>
    <phoneticPr fontId="3"/>
  </si>
  <si>
    <t>氏　　　　名</t>
    <rPh sb="0" eb="1">
      <t>シ</t>
    </rPh>
    <rPh sb="5" eb="6">
      <t>メイ</t>
    </rPh>
    <phoneticPr fontId="3"/>
  </si>
  <si>
    <r>
      <t>　　</t>
    </r>
    <r>
      <rPr>
        <b/>
        <u/>
        <sz val="12"/>
        <color rgb="FF0000CC"/>
        <rFont val="ＭＳ Ｐゴシック"/>
        <family val="3"/>
        <charset val="128"/>
      </rPr>
      <t>従業員番号を手入力します！</t>
    </r>
    <rPh sb="2" eb="5">
      <t>ジュウギョウイン</t>
    </rPh>
    <rPh sb="5" eb="7">
      <t>バンゴウ</t>
    </rPh>
    <rPh sb="8" eb="9">
      <t>テ</t>
    </rPh>
    <rPh sb="9" eb="10">
      <t>ジッテ</t>
    </rPh>
    <phoneticPr fontId="3"/>
  </si>
  <si>
    <t>雇用保険
時間チェック</t>
    <rPh sb="0" eb="2">
      <t>コヨウ</t>
    </rPh>
    <rPh sb="2" eb="4">
      <t>ホケン</t>
    </rPh>
    <rPh sb="5" eb="7">
      <t>ジカン</t>
    </rPh>
    <phoneticPr fontId="3"/>
  </si>
  <si>
    <t>※標準報酬算定には通勤手当を含む！</t>
    <rPh sb="1" eb="5">
      <t>ヒョウジュンホウシュウ</t>
    </rPh>
    <rPh sb="5" eb="7">
      <t>サンテイ</t>
    </rPh>
    <rPh sb="9" eb="13">
      <t>ツウキンテアテ</t>
    </rPh>
    <rPh sb="14" eb="15">
      <t>フク</t>
    </rPh>
    <phoneticPr fontId="3"/>
  </si>
  <si>
    <r>
      <t>社保料等
合計×12</t>
    </r>
    <r>
      <rPr>
        <b/>
        <sz val="11"/>
        <color theme="1"/>
        <rFont val="ＭＳ Ｐゴシック"/>
        <family val="3"/>
        <charset val="128"/>
      </rPr>
      <t>（年間）</t>
    </r>
    <rPh sb="0" eb="1">
      <t>シャ</t>
    </rPh>
    <rPh sb="1" eb="2">
      <t>タモツ</t>
    </rPh>
    <rPh sb="2" eb="3">
      <t>リョウ</t>
    </rPh>
    <rPh sb="3" eb="4">
      <t>ナド</t>
    </rPh>
    <rPh sb="5" eb="7">
      <t>ゴウケイ</t>
    </rPh>
    <rPh sb="11" eb="13">
      <t>ネンカン</t>
    </rPh>
    <phoneticPr fontId="3"/>
  </si>
  <si>
    <t>基礎控除額</t>
    <rPh sb="0" eb="2">
      <t>キソ</t>
    </rPh>
    <rPh sb="2" eb="4">
      <t>コウジョ</t>
    </rPh>
    <rPh sb="4" eb="5">
      <t>ガク</t>
    </rPh>
    <phoneticPr fontId="3"/>
  </si>
  <si>
    <t>住民税率</t>
    <rPh sb="3" eb="4">
      <t>リツ</t>
    </rPh>
    <phoneticPr fontId="3"/>
  </si>
  <si>
    <r>
      <t>　</t>
    </r>
    <r>
      <rPr>
        <u/>
        <sz val="18"/>
        <color rgb="FF0000CC"/>
        <rFont val="ＭＳ Ｐゴシック"/>
        <family val="3"/>
        <charset val="128"/>
      </rPr>
      <t>住民税計算</t>
    </r>
    <rPh sb="1" eb="4">
      <t>ジュウミンゼイ</t>
    </rPh>
    <rPh sb="4" eb="6">
      <t>ケイサン</t>
    </rPh>
    <phoneticPr fontId="3"/>
  </si>
  <si>
    <r>
      <t>　</t>
    </r>
    <r>
      <rPr>
        <u/>
        <sz val="18"/>
        <color rgb="FF0000CC"/>
        <rFont val="ＭＳ Ｐゴシック"/>
        <family val="3"/>
        <charset val="128"/>
      </rPr>
      <t>社会保険計算</t>
    </r>
    <rPh sb="1" eb="5">
      <t>シャカイホケン</t>
    </rPh>
    <rPh sb="5" eb="7">
      <t>ケイサン</t>
    </rPh>
    <phoneticPr fontId="3"/>
  </si>
  <si>
    <r>
      <t>　</t>
    </r>
    <r>
      <rPr>
        <u/>
        <sz val="18"/>
        <color rgb="FF0000CC"/>
        <rFont val="ＭＳ Ｐゴシック"/>
        <family val="3"/>
        <charset val="128"/>
      </rPr>
      <t>所得税計算</t>
    </r>
    <rPh sb="1" eb="4">
      <t>ショトクゼイ</t>
    </rPh>
    <rPh sb="4" eb="6">
      <t>ケイサン</t>
    </rPh>
    <phoneticPr fontId="3"/>
  </si>
  <si>
    <t>手取り年収</t>
    <rPh sb="0" eb="2">
      <t>テド</t>
    </rPh>
    <rPh sb="3" eb="5">
      <t>ネンシュウ</t>
    </rPh>
    <phoneticPr fontId="3"/>
  </si>
  <si>
    <t>又は、チェック（30H以上）</t>
    <rPh sb="0" eb="1">
      <t>マタ</t>
    </rPh>
    <rPh sb="11" eb="13">
      <t>イジョウ</t>
    </rPh>
    <phoneticPr fontId="3"/>
  </si>
  <si>
    <t>チェック（130万以上）</t>
    <rPh sb="8" eb="9">
      <t>マン</t>
    </rPh>
    <rPh sb="9" eb="11">
      <t>イジョウ</t>
    </rPh>
    <phoneticPr fontId="3"/>
  </si>
  <si>
    <t>年収チェック</t>
    <rPh sb="0" eb="2">
      <t>ネンシュウ</t>
    </rPh>
    <phoneticPr fontId="3"/>
  </si>
  <si>
    <t>週所定労働時間</t>
    <rPh sb="0" eb="1">
      <t>シュウ</t>
    </rPh>
    <rPh sb="1" eb="3">
      <t>ショテイ</t>
    </rPh>
    <rPh sb="3" eb="5">
      <t>ロウドウ</t>
    </rPh>
    <rPh sb="5" eb="7">
      <t>ジカン</t>
    </rPh>
    <phoneticPr fontId="3"/>
  </si>
  <si>
    <t>生駒市</t>
    <rPh sb="0" eb="3">
      <t>イコマシ</t>
    </rPh>
    <phoneticPr fontId="3"/>
  </si>
  <si>
    <t>雇用保険料率
（被保険者分）</t>
    <rPh sb="0" eb="2">
      <t>コヨウ</t>
    </rPh>
    <rPh sb="2" eb="5">
      <t>ホケンリョウ</t>
    </rPh>
    <rPh sb="5" eb="6">
      <t>リツ</t>
    </rPh>
    <rPh sb="8" eb="12">
      <t>ヒホケンシャ</t>
    </rPh>
    <rPh sb="12" eb="13">
      <t>ブン</t>
    </rPh>
    <phoneticPr fontId="3"/>
  </si>
  <si>
    <t>合計</t>
    <rPh sb="0" eb="2">
      <t>ゴウケイ</t>
    </rPh>
    <phoneticPr fontId="3"/>
  </si>
  <si>
    <r>
      <rPr>
        <b/>
        <u/>
        <sz val="14"/>
        <color rgb="FFFF0000"/>
        <rFont val="ＭＳ Ｐゴシック"/>
        <family val="3"/>
        <charset val="128"/>
      </rPr>
      <t>【要事前準備】</t>
    </r>
    <r>
      <rPr>
        <b/>
        <u/>
        <sz val="14"/>
        <color rgb="FF0000CC"/>
        <rFont val="ＭＳ Ｐゴシック"/>
        <family val="3"/>
        <charset val="128"/>
      </rPr>
      <t>シミュレーションを行う市区町村別の税額・税率を入力してください！</t>
    </r>
    <rPh sb="1" eb="2">
      <t>ヨウ</t>
    </rPh>
    <rPh sb="2" eb="4">
      <t>ジゼン</t>
    </rPh>
    <rPh sb="4" eb="6">
      <t>ジュンビ</t>
    </rPh>
    <rPh sb="16" eb="17">
      <t>オコナ</t>
    </rPh>
    <rPh sb="18" eb="20">
      <t>シク</t>
    </rPh>
    <rPh sb="22" eb="23">
      <t>ベツ</t>
    </rPh>
    <rPh sb="27" eb="29">
      <t>ゼイリツ</t>
    </rPh>
    <rPh sb="30" eb="32">
      <t>ニュウリョク</t>
    </rPh>
    <phoneticPr fontId="3"/>
  </si>
  <si>
    <t>市区町村名</t>
    <rPh sb="0" eb="5">
      <t>シクチョウソンメイ</t>
    </rPh>
    <phoneticPr fontId="3"/>
  </si>
  <si>
    <t>Ｒ．５</t>
    <phoneticPr fontId="3"/>
  </si>
  <si>
    <t>大阪市</t>
    <rPh sb="0" eb="3">
      <t>オオサカシ</t>
    </rPh>
    <phoneticPr fontId="3"/>
  </si>
  <si>
    <t>５．地方税の計算</t>
    <rPh sb="2" eb="5">
      <t>チホウゼイ</t>
    </rPh>
    <rPh sb="6" eb="8">
      <t>ケイサン</t>
    </rPh>
    <phoneticPr fontId="3"/>
  </si>
  <si>
    <t>健康保険
介護なし</t>
    <rPh sb="0" eb="2">
      <t>ケンコウ</t>
    </rPh>
    <rPh sb="2" eb="4">
      <t>ホケン</t>
    </rPh>
    <rPh sb="5" eb="7">
      <t>カイゴ</t>
    </rPh>
    <phoneticPr fontId="3"/>
  </si>
  <si>
    <t>健康保険
介護あり</t>
    <rPh sb="0" eb="2">
      <t>ケンコウ</t>
    </rPh>
    <rPh sb="2" eb="4">
      <t>ホケン</t>
    </rPh>
    <rPh sb="5" eb="7">
      <t>カイゴ</t>
    </rPh>
    <phoneticPr fontId="3"/>
  </si>
  <si>
    <t>奈良市</t>
    <rPh sb="0" eb="2">
      <t>ナラ</t>
    </rPh>
    <rPh sb="2" eb="3">
      <t>シ</t>
    </rPh>
    <phoneticPr fontId="3"/>
  </si>
  <si>
    <t>奈良市</t>
    <rPh sb="0" eb="3">
      <t>ナラシ</t>
    </rPh>
    <phoneticPr fontId="3"/>
  </si>
  <si>
    <t>大阪市</t>
    <rPh sb="0" eb="2">
      <t>オオサカ</t>
    </rPh>
    <rPh sb="2" eb="3">
      <t>シ</t>
    </rPh>
    <phoneticPr fontId="3"/>
  </si>
  <si>
    <t>データ最終更新日</t>
    <rPh sb="3" eb="5">
      <t>サイシュウ</t>
    </rPh>
    <rPh sb="5" eb="8">
      <t>コウシンビ</t>
    </rPh>
    <phoneticPr fontId="3"/>
  </si>
  <si>
    <t>非課税基準</t>
    <rPh sb="0" eb="3">
      <t>ヒカゼイ</t>
    </rPh>
    <rPh sb="3" eb="5">
      <t>キジュン</t>
    </rPh>
    <phoneticPr fontId="3"/>
  </si>
  <si>
    <t>※選択「２」で、年収１３０万（諸手当込み・通勤手当除く）以上は自動的に国民年金・国民健康保険料計算！</t>
    <rPh sb="1" eb="3">
      <t>センタク</t>
    </rPh>
    <rPh sb="8" eb="10">
      <t>ネンシュウ</t>
    </rPh>
    <rPh sb="13" eb="14">
      <t>マン</t>
    </rPh>
    <rPh sb="15" eb="18">
      <t>ショテアテ</t>
    </rPh>
    <rPh sb="18" eb="19">
      <t>コミ</t>
    </rPh>
    <rPh sb="21" eb="25">
      <t>ツウキンテアテ</t>
    </rPh>
    <rPh sb="25" eb="26">
      <t>ノゾ</t>
    </rPh>
    <rPh sb="28" eb="30">
      <t>イジョウ</t>
    </rPh>
    <rPh sb="31" eb="34">
      <t>ジドウテキ</t>
    </rPh>
    <rPh sb="35" eb="39">
      <t>コクミンネンキン</t>
    </rPh>
    <rPh sb="40" eb="46">
      <t>コクミンケンコウホケン</t>
    </rPh>
    <rPh sb="47" eb="49">
      <t>ケイサン</t>
    </rPh>
    <phoneticPr fontId="3"/>
  </si>
  <si>
    <t>住民税合計
（調整控除
算入）</t>
    <rPh sb="0" eb="3">
      <t>ジュウミンゼイ</t>
    </rPh>
    <rPh sb="3" eb="5">
      <t>ゴウケイ</t>
    </rPh>
    <rPh sb="7" eb="9">
      <t>チョウセイ</t>
    </rPh>
    <rPh sb="9" eb="11">
      <t>コウジョ</t>
    </rPh>
    <rPh sb="12" eb="14">
      <t>サンニュウ</t>
    </rPh>
    <phoneticPr fontId="3"/>
  </si>
  <si>
    <t>市区町村民</t>
    <rPh sb="0" eb="2">
      <t>シク</t>
    </rPh>
    <rPh sb="2" eb="4">
      <t>チョウソン</t>
    </rPh>
    <rPh sb="4" eb="5">
      <t>ミン</t>
    </rPh>
    <phoneticPr fontId="3"/>
  </si>
  <si>
    <t>都道府県民</t>
    <rPh sb="0" eb="2">
      <t>トドウ</t>
    </rPh>
    <rPh sb="2" eb="3">
      <t>フ</t>
    </rPh>
    <rPh sb="3" eb="5">
      <t>ケンミン</t>
    </rPh>
    <phoneticPr fontId="3"/>
  </si>
  <si>
    <t>※人的控除は基礎控除額のみ算入</t>
    <rPh sb="1" eb="3">
      <t>ジンテキ</t>
    </rPh>
    <rPh sb="3" eb="5">
      <t>コウジョ</t>
    </rPh>
    <rPh sb="6" eb="11">
      <t>キソコウジョガク</t>
    </rPh>
    <rPh sb="13" eb="15">
      <t>サンニュウ</t>
    </rPh>
    <phoneticPr fontId="3"/>
  </si>
  <si>
    <t>市区町村名</t>
    <rPh sb="0" eb="2">
      <t>シク</t>
    </rPh>
    <rPh sb="2" eb="4">
      <t>チョウソン</t>
    </rPh>
    <rPh sb="4" eb="5">
      <t>メイ</t>
    </rPh>
    <phoneticPr fontId="3"/>
  </si>
  <si>
    <t>従業員データ入力画面</t>
    <rPh sb="0" eb="3">
      <t>ジュウギョウイン</t>
    </rPh>
    <rPh sb="6" eb="8">
      <t>ニュウリョク</t>
    </rPh>
    <rPh sb="8" eb="10">
      <t>ガメン</t>
    </rPh>
    <phoneticPr fontId="3"/>
  </si>
  <si>
    <t>以下、行単位でコピーして行数を増やして使用して下さい！</t>
    <rPh sb="0" eb="2">
      <t>イカ</t>
    </rPh>
    <rPh sb="3" eb="6">
      <t>ギョウタンイ</t>
    </rPh>
    <rPh sb="12" eb="14">
      <t>ギョウスウ</t>
    </rPh>
    <rPh sb="15" eb="16">
      <t>フ</t>
    </rPh>
    <rPh sb="23" eb="24">
      <t>クダ</t>
    </rPh>
    <phoneticPr fontId="3"/>
  </si>
  <si>
    <t>設定は、行NO.1000迄コピーして増やせます。</t>
    <rPh sb="0" eb="2">
      <t>セッテイ</t>
    </rPh>
    <rPh sb="4" eb="5">
      <t>ギョウ</t>
    </rPh>
    <rPh sb="12" eb="13">
      <t>マデ</t>
    </rPh>
    <rPh sb="18" eb="19">
      <t>フ</t>
    </rPh>
    <phoneticPr fontId="3"/>
  </si>
  <si>
    <t>夏見込み</t>
    <rPh sb="0" eb="3">
      <t>ナツミコ</t>
    </rPh>
    <phoneticPr fontId="3"/>
  </si>
  <si>
    <t>冬見込み</t>
    <rPh sb="0" eb="3">
      <t>フユミコ</t>
    </rPh>
    <phoneticPr fontId="3"/>
  </si>
  <si>
    <t>※印 入力必須！</t>
    <rPh sb="1" eb="2">
      <t>シルシ</t>
    </rPh>
    <rPh sb="3" eb="5">
      <t>ニュウリョク</t>
    </rPh>
    <rPh sb="5" eb="7">
      <t>ヒッス</t>
    </rPh>
    <phoneticPr fontId="3"/>
  </si>
  <si>
    <r>
      <rPr>
        <b/>
        <sz val="12"/>
        <color rgb="FFFF0000"/>
        <rFont val="ＭＳ ゴシック"/>
        <family val="3"/>
        <charset val="128"/>
      </rPr>
      <t>(※）</t>
    </r>
    <r>
      <rPr>
        <b/>
        <sz val="12"/>
        <rFont val="ＭＳ ゴシック"/>
        <family val="3"/>
        <charset val="128"/>
      </rPr>
      <t xml:space="preserve">
従業員番号</t>
    </r>
    <rPh sb="4" eb="7">
      <t>ジュウギョウイン</t>
    </rPh>
    <rPh sb="7" eb="9">
      <t>バンゴウ</t>
    </rPh>
    <phoneticPr fontId="3"/>
  </si>
  <si>
    <r>
      <rPr>
        <b/>
        <sz val="11"/>
        <color rgb="FFFF0000"/>
        <rFont val="ＭＳ ゴシック"/>
        <family val="3"/>
        <charset val="128"/>
      </rPr>
      <t>(※）</t>
    </r>
    <r>
      <rPr>
        <b/>
        <sz val="11"/>
        <rFont val="ＭＳ ゴシック"/>
        <family val="3"/>
        <charset val="128"/>
      </rPr>
      <t xml:space="preserve">
氏　　名</t>
    </r>
    <rPh sb="4" eb="5">
      <t>シ</t>
    </rPh>
    <rPh sb="7" eb="8">
      <t>メイ</t>
    </rPh>
    <phoneticPr fontId="3"/>
  </si>
  <si>
    <r>
      <rPr>
        <b/>
        <sz val="11"/>
        <color rgb="FFFF0000"/>
        <rFont val="ＭＳ ゴシック"/>
        <family val="3"/>
        <charset val="128"/>
      </rPr>
      <t>(※）</t>
    </r>
    <r>
      <rPr>
        <b/>
        <sz val="11"/>
        <rFont val="ＭＳ ゴシック"/>
        <family val="3"/>
        <charset val="128"/>
      </rPr>
      <t xml:space="preserve">
該当市区町村</t>
    </r>
    <rPh sb="4" eb="6">
      <t>ガイトウ</t>
    </rPh>
    <rPh sb="6" eb="10">
      <t>シクチョウソン</t>
    </rPh>
    <phoneticPr fontId="3"/>
  </si>
  <si>
    <r>
      <rPr>
        <b/>
        <sz val="11"/>
        <color rgb="FFFF0000"/>
        <rFont val="ＭＳ ゴシック"/>
        <family val="3"/>
        <charset val="128"/>
      </rPr>
      <t>(※）</t>
    </r>
    <r>
      <rPr>
        <b/>
        <sz val="11"/>
        <rFont val="ＭＳ ゴシック"/>
        <family val="3"/>
        <charset val="128"/>
      </rPr>
      <t xml:space="preserve">
生年月日</t>
    </r>
    <rPh sb="4" eb="6">
      <t>セイネン</t>
    </rPh>
    <rPh sb="6" eb="8">
      <t>ガッピ</t>
    </rPh>
    <phoneticPr fontId="3"/>
  </si>
  <si>
    <r>
      <rPr>
        <b/>
        <sz val="11"/>
        <color rgb="FFFF0000"/>
        <rFont val="ＭＳ ゴシック"/>
        <family val="3"/>
        <charset val="128"/>
      </rPr>
      <t>(※）</t>
    </r>
    <r>
      <rPr>
        <b/>
        <sz val="11"/>
        <rFont val="ＭＳ ゴシック"/>
        <family val="3"/>
        <charset val="128"/>
      </rPr>
      <t>週所定労働日数</t>
    </r>
    <rPh sb="3" eb="4">
      <t>シュウ</t>
    </rPh>
    <rPh sb="4" eb="6">
      <t>ショテイ</t>
    </rPh>
    <rPh sb="6" eb="8">
      <t>ロウドウ</t>
    </rPh>
    <rPh sb="8" eb="10">
      <t>ニッスウ</t>
    </rPh>
    <phoneticPr fontId="3"/>
  </si>
  <si>
    <r>
      <rPr>
        <b/>
        <sz val="11"/>
        <color rgb="FFFF0000"/>
        <rFont val="ＭＳ ゴシック"/>
        <family val="3"/>
        <charset val="128"/>
      </rPr>
      <t>(※）</t>
    </r>
    <r>
      <rPr>
        <b/>
        <sz val="11"/>
        <rFont val="ＭＳ ゴシック"/>
        <family val="3"/>
        <charset val="128"/>
      </rPr>
      <t>所定
労働時間</t>
    </r>
    <rPh sb="3" eb="5">
      <t>ショテイ</t>
    </rPh>
    <rPh sb="6" eb="8">
      <t>ロウドウ</t>
    </rPh>
    <rPh sb="8" eb="10">
      <t>ジカン</t>
    </rPh>
    <phoneticPr fontId="3"/>
  </si>
  <si>
    <t>（注）住民税の算出は本年度の収入で計算しています！</t>
    <rPh sb="1" eb="2">
      <t>チュウ</t>
    </rPh>
    <rPh sb="3" eb="6">
      <t>ジュウミンゼイ</t>
    </rPh>
    <rPh sb="7" eb="9">
      <t>サンシュツ</t>
    </rPh>
    <rPh sb="10" eb="13">
      <t>ホンネンド</t>
    </rPh>
    <rPh sb="14" eb="16">
      <t>シュウニュウ</t>
    </rPh>
    <rPh sb="17" eb="19">
      <t>ケイサン</t>
    </rPh>
    <phoneticPr fontId="3"/>
  </si>
  <si>
    <t>計</t>
    <rPh sb="0" eb="1">
      <t>ケイ</t>
    </rPh>
    <phoneticPr fontId="3"/>
  </si>
  <si>
    <t>賞与（一時金）</t>
    <rPh sb="0" eb="2">
      <t>ショウヨ</t>
    </rPh>
    <rPh sb="3" eb="6">
      <t>イチジキン</t>
    </rPh>
    <phoneticPr fontId="3"/>
  </si>
  <si>
    <t>標準賞与額</t>
    <rPh sb="0" eb="2">
      <t>ヒョウジュン</t>
    </rPh>
    <rPh sb="2" eb="5">
      <t>ショウヨガク</t>
    </rPh>
    <phoneticPr fontId="3"/>
  </si>
  <si>
    <t>雇用
保険料/（年額）</t>
    <rPh sb="0" eb="2">
      <t>コヨウ</t>
    </rPh>
    <rPh sb="3" eb="6">
      <t>ホケンリョウ</t>
    </rPh>
    <rPh sb="8" eb="9">
      <t>ネン</t>
    </rPh>
    <rPh sb="9" eb="10">
      <t>ガク</t>
    </rPh>
    <phoneticPr fontId="3"/>
  </si>
  <si>
    <t>標準賞与額/12
（月額相当額）</t>
    <rPh sb="0" eb="2">
      <t>ヒョウジュン</t>
    </rPh>
    <rPh sb="2" eb="5">
      <t>ショウヨガク</t>
    </rPh>
    <rPh sb="10" eb="12">
      <t>ゲツガク</t>
    </rPh>
    <rPh sb="12" eb="14">
      <t>ソウトウ</t>
    </rPh>
    <rPh sb="14" eb="15">
      <t>ガク</t>
    </rPh>
    <phoneticPr fontId="3"/>
  </si>
  <si>
    <r>
      <rPr>
        <b/>
        <sz val="11"/>
        <color rgb="FFFF0000"/>
        <rFont val="ＭＳ ゴシック"/>
        <family val="3"/>
        <charset val="128"/>
      </rPr>
      <t>(※）</t>
    </r>
    <r>
      <rPr>
        <b/>
        <sz val="11"/>
        <rFont val="ＭＳ ゴシック"/>
        <family val="3"/>
        <charset val="128"/>
      </rPr>
      <t>賞与（一時金）見込み</t>
    </r>
    <rPh sb="3" eb="5">
      <t>ショウヨ</t>
    </rPh>
    <rPh sb="6" eb="9">
      <t>イチジキン</t>
    </rPh>
    <rPh sb="10" eb="12">
      <t>ミコ</t>
    </rPh>
    <phoneticPr fontId="3"/>
  </si>
  <si>
    <t>平成　　　年　　　月　　　日</t>
    <rPh sb="0" eb="2">
      <t>ヘイセイ</t>
    </rPh>
    <rPh sb="5" eb="6">
      <t>ネン</t>
    </rPh>
    <rPh sb="9" eb="10">
      <t>ガツ</t>
    </rPh>
    <rPh sb="13" eb="14">
      <t>ニチ</t>
    </rPh>
    <phoneticPr fontId="3"/>
  </si>
  <si>
    <t>株式会社　</t>
    <rPh sb="0" eb="2">
      <t>カブシキ</t>
    </rPh>
    <rPh sb="2" eb="4">
      <t>カイシャ</t>
    </rPh>
    <phoneticPr fontId="3"/>
  </si>
  <si>
    <t>代表取締役社長</t>
    <rPh sb="0" eb="2">
      <t>ダイヒョウ</t>
    </rPh>
    <rPh sb="2" eb="5">
      <t>トリシマリヤク</t>
    </rPh>
    <rPh sb="5" eb="7">
      <t>シャチョウ</t>
    </rPh>
    <phoneticPr fontId="3"/>
  </si>
  <si>
    <t>週所定労働日数</t>
    <rPh sb="0" eb="1">
      <t>シュウ</t>
    </rPh>
    <rPh sb="1" eb="3">
      <t>ショテイ</t>
    </rPh>
    <rPh sb="3" eb="5">
      <t>ロウドウ</t>
    </rPh>
    <rPh sb="5" eb="7">
      <t>ニッスウ</t>
    </rPh>
    <phoneticPr fontId="3"/>
  </si>
  <si>
    <t>年間所定
労働時間</t>
    <rPh sb="0" eb="2">
      <t>ネンカン</t>
    </rPh>
    <rPh sb="2" eb="4">
      <t>ショテイ</t>
    </rPh>
    <rPh sb="5" eb="7">
      <t>ロウドウ</t>
    </rPh>
    <rPh sb="7" eb="9">
      <t>ジカン</t>
    </rPh>
    <phoneticPr fontId="3"/>
  </si>
  <si>
    <t>操作説明</t>
    <rPh sb="0" eb="2">
      <t>ソウサ</t>
    </rPh>
    <rPh sb="2" eb="4">
      <t>セツメイ</t>
    </rPh>
    <phoneticPr fontId="82"/>
  </si>
  <si>
    <t>メニュー一覧</t>
    <rPh sb="4" eb="6">
      <t>イチラン</t>
    </rPh>
    <phoneticPr fontId="3"/>
  </si>
  <si>
    <t>　ご購入頂いた利用者の方も同様ですのでご注意下さい。</t>
    <rPh sb="2" eb="4">
      <t>コウニュウ</t>
    </rPh>
    <rPh sb="4" eb="5">
      <t>イタダ</t>
    </rPh>
    <rPh sb="7" eb="10">
      <t>リヨウシャ</t>
    </rPh>
    <rPh sb="11" eb="12">
      <t>カタ</t>
    </rPh>
    <rPh sb="13" eb="15">
      <t>ドウヨウ</t>
    </rPh>
    <rPh sb="20" eb="22">
      <t>チュウイ</t>
    </rPh>
    <rPh sb="22" eb="23">
      <t>クダ</t>
    </rPh>
    <phoneticPr fontId="3"/>
  </si>
  <si>
    <t>２．解析・改造の禁止</t>
    <rPh sb="2" eb="4">
      <t>カイセキ</t>
    </rPh>
    <rPh sb="5" eb="7">
      <t>カイゾウ</t>
    </rPh>
    <rPh sb="8" eb="10">
      <t>キンシ</t>
    </rPh>
    <phoneticPr fontId="3"/>
  </si>
  <si>
    <t>　このソフトウェアについての解析・改造を禁止いたします。</t>
    <rPh sb="14" eb="16">
      <t>カイセキ</t>
    </rPh>
    <rPh sb="17" eb="19">
      <t>カイゾウ</t>
    </rPh>
    <rPh sb="20" eb="22">
      <t>キンシ</t>
    </rPh>
    <phoneticPr fontId="3"/>
  </si>
  <si>
    <t>　ご購入頂いた利用者の方に対してもパスワードで保護させていただきます。</t>
    <rPh sb="2" eb="4">
      <t>コウニュウ</t>
    </rPh>
    <rPh sb="4" eb="5">
      <t>イタダ</t>
    </rPh>
    <rPh sb="7" eb="10">
      <t>リヨウシャ</t>
    </rPh>
    <rPh sb="11" eb="12">
      <t>カタ</t>
    </rPh>
    <rPh sb="13" eb="14">
      <t>タイ</t>
    </rPh>
    <rPh sb="23" eb="25">
      <t>ホゴ</t>
    </rPh>
    <phoneticPr fontId="3"/>
  </si>
  <si>
    <t>１．従業員データ入力画面</t>
    <rPh sb="2" eb="5">
      <t>ジュウギョウイン</t>
    </rPh>
    <rPh sb="8" eb="10">
      <t>ニュウリョク</t>
    </rPh>
    <rPh sb="10" eb="12">
      <t>ガメン</t>
    </rPh>
    <phoneticPr fontId="3"/>
  </si>
  <si>
    <t>■</t>
    <phoneticPr fontId="3"/>
  </si>
  <si>
    <t>２ー２．保険料・地方税等入力画面</t>
    <rPh sb="4" eb="7">
      <t>ホケンリョウ</t>
    </rPh>
    <rPh sb="8" eb="12">
      <t>チホウゼイトウ</t>
    </rPh>
    <rPh sb="12" eb="14">
      <t>ニュウリョク</t>
    </rPh>
    <rPh sb="14" eb="16">
      <t>ガメン</t>
    </rPh>
    <phoneticPr fontId="3"/>
  </si>
  <si>
    <t>市区町村名</t>
    <rPh sb="0" eb="4">
      <t>シクチョウソン</t>
    </rPh>
    <rPh sb="4" eb="5">
      <t>メイ</t>
    </rPh>
    <phoneticPr fontId="3"/>
  </si>
  <si>
    <t>注1：地方税の該当市区町村名は、「2-2.保険料・地方税等入力画面の市区町村名と一致していること。</t>
    <rPh sb="0" eb="1">
      <t>チュウ</t>
    </rPh>
    <rPh sb="3" eb="6">
      <t>チホウゼイ</t>
    </rPh>
    <rPh sb="7" eb="9">
      <t>ガイトウ</t>
    </rPh>
    <rPh sb="9" eb="14">
      <t>シクチョウソンメイ</t>
    </rPh>
    <rPh sb="21" eb="24">
      <t>ホケンリョウ</t>
    </rPh>
    <rPh sb="25" eb="28">
      <t>チホウゼイ</t>
    </rPh>
    <rPh sb="28" eb="29">
      <t>トウ</t>
    </rPh>
    <rPh sb="29" eb="33">
      <t>ニュウリョクガメン</t>
    </rPh>
    <rPh sb="34" eb="39">
      <t>シクチョウソンメイ</t>
    </rPh>
    <rPh sb="40" eb="42">
      <t>イッチ</t>
    </rPh>
    <phoneticPr fontId="3"/>
  </si>
  <si>
    <r>
      <t>　　また、</t>
    </r>
    <r>
      <rPr>
        <b/>
        <sz val="12"/>
        <color rgb="FF0000FF"/>
        <rFont val="ＭＳ Ｐゴシック"/>
        <family val="3"/>
        <charset val="128"/>
      </rPr>
      <t>賞与（一時金）</t>
    </r>
    <r>
      <rPr>
        <b/>
        <sz val="12"/>
        <color theme="1"/>
        <rFont val="ＭＳ Ｐゴシック"/>
        <family val="3"/>
        <charset val="128"/>
      </rPr>
      <t>も支給するようであれば入力してください。</t>
    </r>
    <rPh sb="5" eb="7">
      <t>ショウヨ</t>
    </rPh>
    <rPh sb="8" eb="11">
      <t>イチジキン</t>
    </rPh>
    <rPh sb="13" eb="15">
      <t>シキュウ</t>
    </rPh>
    <rPh sb="23" eb="25">
      <t>ニュウリョク</t>
    </rPh>
    <phoneticPr fontId="3"/>
  </si>
  <si>
    <t>　　　雇用保険料率に変更があれば修正入力します！</t>
    <rPh sb="3" eb="8">
      <t>コヨウホケンリョウ</t>
    </rPh>
    <rPh sb="8" eb="9">
      <t>リツ</t>
    </rPh>
    <rPh sb="10" eb="12">
      <t>ヘンコウ</t>
    </rPh>
    <rPh sb="16" eb="18">
      <t>シュウセイ</t>
    </rPh>
    <rPh sb="18" eb="20">
      <t>ニュウリョク</t>
    </rPh>
    <phoneticPr fontId="3"/>
  </si>
  <si>
    <t>１．雇用保険料率</t>
    <rPh sb="2" eb="4">
      <t>コヨウ</t>
    </rPh>
    <rPh sb="4" eb="7">
      <t>ホケンリョウ</t>
    </rPh>
    <rPh sb="7" eb="8">
      <t>リツ</t>
    </rPh>
    <phoneticPr fontId="3"/>
  </si>
  <si>
    <t>２．厚生年金・健保保険料率</t>
    <rPh sb="2" eb="6">
      <t>コウセイネンキン</t>
    </rPh>
    <rPh sb="7" eb="9">
      <t>ケンポ</t>
    </rPh>
    <rPh sb="9" eb="12">
      <t>ホケンリョウ</t>
    </rPh>
    <rPh sb="12" eb="13">
      <t>リツ</t>
    </rPh>
    <phoneticPr fontId="3"/>
  </si>
  <si>
    <t>　　　従業員が居住する市区町村別に、地方税の算定基準を、ネット等で調べて事前に入力してください。</t>
    <rPh sb="3" eb="6">
      <t>ジュウギョウイン</t>
    </rPh>
    <rPh sb="7" eb="9">
      <t>キョジュウ</t>
    </rPh>
    <rPh sb="11" eb="15">
      <t>シクチョウソン</t>
    </rPh>
    <rPh sb="15" eb="16">
      <t>ベツ</t>
    </rPh>
    <rPh sb="18" eb="21">
      <t>チホウゼイ</t>
    </rPh>
    <rPh sb="22" eb="24">
      <t>サンテイ</t>
    </rPh>
    <rPh sb="24" eb="26">
      <t>キジュン</t>
    </rPh>
    <rPh sb="31" eb="32">
      <t>トウ</t>
    </rPh>
    <rPh sb="33" eb="34">
      <t>シラ</t>
    </rPh>
    <rPh sb="36" eb="38">
      <t>ジゼン</t>
    </rPh>
    <rPh sb="39" eb="41">
      <t>ニュウリョク</t>
    </rPh>
    <phoneticPr fontId="3"/>
  </si>
  <si>
    <t>※ 地方税の算出に必須！</t>
    <rPh sb="2" eb="5">
      <t>チホウゼイ</t>
    </rPh>
    <rPh sb="6" eb="8">
      <t>サンシュツ</t>
    </rPh>
    <rPh sb="9" eb="11">
      <t>ヒッス</t>
    </rPh>
    <phoneticPr fontId="3"/>
  </si>
  <si>
    <t>★ 従業員への説明資料並びに検討資料として個別に作成します。</t>
    <rPh sb="2" eb="5">
      <t>ジュウギョウイン</t>
    </rPh>
    <rPh sb="7" eb="9">
      <t>セツメイ</t>
    </rPh>
    <rPh sb="9" eb="11">
      <t>シリョウ</t>
    </rPh>
    <rPh sb="11" eb="12">
      <t>ナラ</t>
    </rPh>
    <rPh sb="14" eb="16">
      <t>ケントウ</t>
    </rPh>
    <rPh sb="16" eb="18">
      <t>シリョウ</t>
    </rPh>
    <rPh sb="21" eb="23">
      <t>コベツ</t>
    </rPh>
    <rPh sb="24" eb="26">
      <t>サクセイ</t>
    </rPh>
    <phoneticPr fontId="3"/>
  </si>
  <si>
    <t>★ 従業員への所定労働時間等見直し提案資料として必要に応じて作成します。</t>
    <rPh sb="2" eb="5">
      <t>ジュウギョウイン</t>
    </rPh>
    <rPh sb="7" eb="13">
      <t>ショテイロウドウジカン</t>
    </rPh>
    <rPh sb="13" eb="14">
      <t>トウ</t>
    </rPh>
    <rPh sb="14" eb="16">
      <t>ミナオ</t>
    </rPh>
    <rPh sb="17" eb="19">
      <t>テイアン</t>
    </rPh>
    <rPh sb="19" eb="21">
      <t>シリョウ</t>
    </rPh>
    <rPh sb="24" eb="26">
      <t>ヒツヨウ</t>
    </rPh>
    <rPh sb="27" eb="28">
      <t>オウ</t>
    </rPh>
    <rPh sb="30" eb="32">
      <t>サクセイ</t>
    </rPh>
    <phoneticPr fontId="3"/>
  </si>
  <si>
    <t>法改正適用外</t>
    <rPh sb="0" eb="3">
      <t>ホウカイセイ</t>
    </rPh>
    <rPh sb="3" eb="6">
      <t>テキヨウガイ</t>
    </rPh>
    <phoneticPr fontId="3"/>
  </si>
  <si>
    <t>参照表</t>
    <rPh sb="0" eb="2">
      <t>サンショウ</t>
    </rPh>
    <rPh sb="2" eb="3">
      <t>ヒョウ</t>
    </rPh>
    <phoneticPr fontId="3"/>
  </si>
  <si>
    <t>２０２４年１０月１日から法改正適用</t>
    <rPh sb="4" eb="5">
      <t>ネン</t>
    </rPh>
    <rPh sb="7" eb="8">
      <t>ガツ</t>
    </rPh>
    <rPh sb="9" eb="10">
      <t>ニチ</t>
    </rPh>
    <rPh sb="12" eb="15">
      <t>ホウカイセイ</t>
    </rPh>
    <rPh sb="15" eb="17">
      <t>テキヨウ</t>
    </rPh>
    <phoneticPr fontId="3"/>
  </si>
  <si>
    <t>２０２４年９月３０日以前から法改正適用</t>
    <rPh sb="4" eb="5">
      <t>ネン</t>
    </rPh>
    <rPh sb="6" eb="7">
      <t>ガツ</t>
    </rPh>
    <rPh sb="9" eb="10">
      <t>ニチ</t>
    </rPh>
    <rPh sb="10" eb="12">
      <t>イゼン</t>
    </rPh>
    <rPh sb="14" eb="17">
      <t>ホウカイセイ</t>
    </rPh>
    <rPh sb="17" eb="19">
      <t>テキヨウ</t>
    </rPh>
    <phoneticPr fontId="3"/>
  </si>
  <si>
    <t>５１人以上１００人以下の会社</t>
    <rPh sb="2" eb="3">
      <t>ニン</t>
    </rPh>
    <rPh sb="3" eb="5">
      <t>イジョウ</t>
    </rPh>
    <rPh sb="8" eb="9">
      <t>ニン</t>
    </rPh>
    <rPh sb="9" eb="11">
      <t>イカ</t>
    </rPh>
    <rPh sb="12" eb="14">
      <t>カイシャ</t>
    </rPh>
    <phoneticPr fontId="3"/>
  </si>
  <si>
    <t>１０１人以上の会社</t>
    <rPh sb="3" eb="4">
      <t>ニン</t>
    </rPh>
    <rPh sb="4" eb="6">
      <t>イジョウ</t>
    </rPh>
    <rPh sb="7" eb="9">
      <t>カイシャ</t>
    </rPh>
    <phoneticPr fontId="3"/>
  </si>
  <si>
    <t>被保険者数</t>
    <rPh sb="0" eb="4">
      <t>ヒホケンシャ</t>
    </rPh>
    <rPh sb="4" eb="5">
      <t>カズ</t>
    </rPh>
    <phoneticPr fontId="3"/>
  </si>
  <si>
    <t>社保該当・非該当の選択</t>
    <rPh sb="0" eb="2">
      <t>シャホ</t>
    </rPh>
    <rPh sb="2" eb="4">
      <t>ガイトウ</t>
    </rPh>
    <rPh sb="5" eb="8">
      <t>ヒガイトウ</t>
    </rPh>
    <rPh sb="9" eb="11">
      <t>センタク</t>
    </rPh>
    <phoneticPr fontId="3"/>
  </si>
  <si>
    <t>※選択「１」は、自動的に会社の社会保険料計算！</t>
    <rPh sb="1" eb="3">
      <t>センタク</t>
    </rPh>
    <rPh sb="8" eb="11">
      <t>ジドウテキ</t>
    </rPh>
    <rPh sb="12" eb="14">
      <t>カイシャ</t>
    </rPh>
    <rPh sb="15" eb="19">
      <t>シャカイホケン</t>
    </rPh>
    <rPh sb="19" eb="20">
      <t>リョウ</t>
    </rPh>
    <rPh sb="20" eb="22">
      <t>ケイサン</t>
    </rPh>
    <phoneticPr fontId="3"/>
  </si>
  <si>
    <t>シート別シミュレーションの概要</t>
    <rPh sb="3" eb="4">
      <t>ベツ</t>
    </rPh>
    <rPh sb="13" eb="15">
      <t>ガイヨウ</t>
    </rPh>
    <phoneticPr fontId="3"/>
  </si>
  <si>
    <t>シート名</t>
    <rPh sb="3" eb="4">
      <t>メイ</t>
    </rPh>
    <phoneticPr fontId="3"/>
  </si>
  <si>
    <t>設定選択</t>
    <rPh sb="0" eb="2">
      <t>セッテイ</t>
    </rPh>
    <rPh sb="2" eb="4">
      <t>センタク</t>
    </rPh>
    <phoneticPr fontId="3"/>
  </si>
  <si>
    <t>（※）フルタイムの従業員数と、週所定労働時間及び月所定労働日数がフルタイムの4分の3以上の従業員数を合計した数。</t>
  </si>
  <si>
    <t>被保険者数（※）</t>
    <rPh sb="0" eb="4">
      <t>ヒホケンシャ</t>
    </rPh>
    <rPh sb="4" eb="5">
      <t>カズ</t>
    </rPh>
    <phoneticPr fontId="3"/>
  </si>
  <si>
    <t>社会保険適用拡大の適用・未適用区分とシート別の設定内容</t>
    <rPh sb="0" eb="4">
      <t>シャカイホケン</t>
    </rPh>
    <rPh sb="4" eb="6">
      <t>テキヨウ</t>
    </rPh>
    <rPh sb="6" eb="8">
      <t>カクダイ</t>
    </rPh>
    <rPh sb="9" eb="11">
      <t>テキヨウ</t>
    </rPh>
    <rPh sb="12" eb="15">
      <t>ミテキヨウ</t>
    </rPh>
    <rPh sb="15" eb="17">
      <t>クブン</t>
    </rPh>
    <rPh sb="21" eb="22">
      <t>ベツ</t>
    </rPh>
    <rPh sb="23" eb="25">
      <t>セッテイ</t>
    </rPh>
    <rPh sb="25" eb="27">
      <t>ナイヨウ</t>
    </rPh>
    <phoneticPr fontId="3"/>
  </si>
  <si>
    <t>選択「１」と「２」の原則</t>
    <rPh sb="0" eb="2">
      <t>センタク</t>
    </rPh>
    <rPh sb="10" eb="12">
      <t>ゲンソク</t>
    </rPh>
    <phoneticPr fontId="3"/>
  </si>
  <si>
    <t>区分</t>
    <rPh sb="0" eb="2">
      <t>クブン</t>
    </rPh>
    <phoneticPr fontId="3"/>
  </si>
  <si>
    <t>１．社会保険適用拡大の適用・未適用区分とシート別の設定内容</t>
    <rPh sb="2" eb="6">
      <t>シャカイホケン</t>
    </rPh>
    <rPh sb="6" eb="8">
      <t>テキヨウ</t>
    </rPh>
    <rPh sb="8" eb="10">
      <t>カクダイ</t>
    </rPh>
    <rPh sb="11" eb="13">
      <t>テキヨウ</t>
    </rPh>
    <rPh sb="14" eb="17">
      <t>ミテキヨウ</t>
    </rPh>
    <rPh sb="17" eb="19">
      <t>クブン</t>
    </rPh>
    <rPh sb="23" eb="24">
      <t>ベツ</t>
    </rPh>
    <rPh sb="25" eb="27">
      <t>セッテイ</t>
    </rPh>
    <rPh sb="27" eb="29">
      <t>ナイヨウ</t>
    </rPh>
    <phoneticPr fontId="3"/>
  </si>
  <si>
    <t>２．社会保険加入対象者の条件</t>
    <rPh sb="2" eb="6">
      <t>シャカイホケン</t>
    </rPh>
    <rPh sb="6" eb="8">
      <t>カニュウ</t>
    </rPh>
    <rPh sb="8" eb="11">
      <t>タイショウシャ</t>
    </rPh>
    <rPh sb="12" eb="14">
      <t>ジョウケン</t>
    </rPh>
    <phoneticPr fontId="3"/>
  </si>
  <si>
    <t>　　① 社会保険適用拡大が未適用の会社</t>
    <rPh sb="8" eb="10">
      <t>テキヨウ</t>
    </rPh>
    <rPh sb="17" eb="19">
      <t>カイシャ</t>
    </rPh>
    <phoneticPr fontId="3"/>
  </si>
  <si>
    <t>★ 常時雇用されている従業員</t>
    <phoneticPr fontId="3"/>
  </si>
  <si>
    <t>★ 週の所定労働時間が常時雇用されている従業員の4分の3以上かつ、1カ月の所定労働日数が常時雇用されている従業員の4分の3以上である者</t>
    <phoneticPr fontId="3"/>
  </si>
  <si>
    <t>　上記２つの条件を満たせが勤務先の社会保険に加入します。</t>
    <rPh sb="1" eb="3">
      <t>ジョウキ</t>
    </rPh>
    <rPh sb="6" eb="8">
      <t>ジョウケン</t>
    </rPh>
    <rPh sb="9" eb="10">
      <t>ミ</t>
    </rPh>
    <rPh sb="13" eb="16">
      <t>キンムサキ</t>
    </rPh>
    <rPh sb="17" eb="21">
      <t>シャカイホケン</t>
    </rPh>
    <rPh sb="22" eb="24">
      <t>カニュウ</t>
    </rPh>
    <phoneticPr fontId="3"/>
  </si>
  <si>
    <r>
      <rPr>
        <b/>
        <sz val="11"/>
        <rFont val="ＭＳ Ｐゴシック"/>
        <family val="3"/>
        <charset val="128"/>
      </rPr>
      <t>　　（</t>
    </r>
    <r>
      <rPr>
        <b/>
        <u/>
        <sz val="11"/>
        <rFont val="ＭＳ Ｐゴシック"/>
        <family val="3"/>
        <charset val="128"/>
      </rPr>
      <t>このソフトでは、週所定労働時間フルタイムの4分の3以上の条件は</t>
    </r>
    <r>
      <rPr>
        <b/>
        <u/>
        <sz val="11"/>
        <color rgb="FF0000FF"/>
        <rFont val="ＭＳ Ｐゴシック"/>
        <family val="3"/>
        <charset val="128"/>
      </rPr>
      <t>「</t>
    </r>
    <r>
      <rPr>
        <b/>
        <u/>
        <sz val="14"/>
        <color rgb="FF0000FF"/>
        <rFont val="ＭＳ Ｐゴシック"/>
        <family val="3"/>
        <charset val="128"/>
      </rPr>
      <t>週所定労働時間３０時間以上</t>
    </r>
    <r>
      <rPr>
        <b/>
        <u/>
        <sz val="11"/>
        <color rgb="FF0000FF"/>
        <rFont val="ＭＳ Ｐゴシック"/>
        <family val="3"/>
        <charset val="128"/>
      </rPr>
      <t>」と</t>
    </r>
    <r>
      <rPr>
        <b/>
        <u/>
        <sz val="11"/>
        <color theme="1"/>
        <rFont val="ＭＳ Ｐゴシック"/>
        <family val="3"/>
        <charset val="128"/>
      </rPr>
      <t>読み替えて設定していま</t>
    </r>
    <r>
      <rPr>
        <b/>
        <u/>
        <sz val="11"/>
        <rFont val="ＭＳ Ｐゴシック"/>
        <family val="3"/>
        <charset val="128"/>
      </rPr>
      <t>す。）</t>
    </r>
    <rPh sb="31" eb="33">
      <t>ジョウケン</t>
    </rPh>
    <rPh sb="35" eb="42">
      <t>シュウショテイロウドウジカン</t>
    </rPh>
    <rPh sb="44" eb="46">
      <t>ジカン</t>
    </rPh>
    <rPh sb="46" eb="48">
      <t>イジョウ</t>
    </rPh>
    <rPh sb="50" eb="51">
      <t>ヨ</t>
    </rPh>
    <rPh sb="52" eb="53">
      <t>カ</t>
    </rPh>
    <rPh sb="55" eb="57">
      <t>セッテイ</t>
    </rPh>
    <phoneticPr fontId="3"/>
  </si>
  <si>
    <t>★ 週所定労働時間３０時間未満で、年収１３０万円を超えると扶養から外れ国民年金・国民健康保険に加入することが義務付けらます。（いわゆる１３０万円の壁）。</t>
    <rPh sb="2" eb="9">
      <t>シュウショテイロウドウジカン</t>
    </rPh>
    <rPh sb="11" eb="13">
      <t>ジカン</t>
    </rPh>
    <rPh sb="13" eb="15">
      <t>ミマン</t>
    </rPh>
    <rPh sb="17" eb="19">
      <t>ネンシュウ</t>
    </rPh>
    <rPh sb="22" eb="24">
      <t>マンエン</t>
    </rPh>
    <rPh sb="25" eb="26">
      <t>コ</t>
    </rPh>
    <rPh sb="29" eb="31">
      <t>フヨウ</t>
    </rPh>
    <rPh sb="33" eb="34">
      <t>ハズ</t>
    </rPh>
    <rPh sb="35" eb="39">
      <t>コクミンネンキン</t>
    </rPh>
    <rPh sb="40" eb="46">
      <t>コクミンケンコウホケン</t>
    </rPh>
    <rPh sb="47" eb="49">
      <t>カニュウ</t>
    </rPh>
    <rPh sb="54" eb="57">
      <t>ギムヅ</t>
    </rPh>
    <rPh sb="70" eb="72">
      <t>マンエン</t>
    </rPh>
    <rPh sb="73" eb="74">
      <t>カベ</t>
    </rPh>
    <phoneticPr fontId="3"/>
  </si>
  <si>
    <t>　　勤務先の社会保険に加入する場合よりも社会保険料の負担が大きくなります。</t>
    <rPh sb="2" eb="5">
      <t>キンムサキ</t>
    </rPh>
    <rPh sb="15" eb="17">
      <t>バアイ</t>
    </rPh>
    <rPh sb="20" eb="25">
      <t>シャカイホケンリョウ</t>
    </rPh>
    <rPh sb="26" eb="28">
      <t>フタン</t>
    </rPh>
    <rPh sb="29" eb="30">
      <t>オオ</t>
    </rPh>
    <phoneticPr fontId="3"/>
  </si>
  <si>
    <t>　　② 社会保険適用拡大が適用された会社</t>
    <rPh sb="8" eb="10">
      <t>テキヨウ</t>
    </rPh>
    <rPh sb="18" eb="20">
      <t>カイシャ</t>
    </rPh>
    <phoneticPr fontId="3"/>
  </si>
  <si>
    <t>★ 週所定労働時間２０時間以上である者</t>
    <rPh sb="18" eb="19">
      <t>モノ</t>
    </rPh>
    <phoneticPr fontId="3"/>
  </si>
  <si>
    <t>★ 厚生年金の被保険者（正社員やフルタイム労働者の4分の3以上の労働時間で働くパートタイムなど）を数える</t>
    <phoneticPr fontId="3"/>
  </si>
  <si>
    <t>★ 法人の場合、法人番号が同一の企業を合計して判断</t>
    <phoneticPr fontId="3"/>
  </si>
  <si>
    <t>★ 従業員数が下回ったとしても原則として拡大後のルールが引き続き適用</t>
    <phoneticPr fontId="3"/>
  </si>
  <si>
    <t>　　③ 社会保険適用拡大後の適用基準と留意点</t>
    <rPh sb="8" eb="10">
      <t>テキヨウ</t>
    </rPh>
    <rPh sb="12" eb="13">
      <t>ゴ</t>
    </rPh>
    <rPh sb="14" eb="16">
      <t>テキヨウ</t>
    </rPh>
    <rPh sb="16" eb="18">
      <t>キジュン</t>
    </rPh>
    <rPh sb="19" eb="22">
      <t>リュウイテン</t>
    </rPh>
    <phoneticPr fontId="3"/>
  </si>
  <si>
    <t>★ 直近１２ヵ月のうち、６ヵ月で基準を上回った段階で適用</t>
    <rPh sb="7" eb="8">
      <t>ゲツ</t>
    </rPh>
    <rPh sb="14" eb="15">
      <t>ゲツ</t>
    </rPh>
    <phoneticPr fontId="3"/>
  </si>
  <si>
    <t>　　④ 従業員に社会保険加入の意向確認</t>
    <rPh sb="4" eb="7">
      <t>ジュウギョウイン</t>
    </rPh>
    <rPh sb="8" eb="10">
      <t>シャカイ</t>
    </rPh>
    <rPh sb="10" eb="12">
      <t>ホケン</t>
    </rPh>
    <rPh sb="12" eb="14">
      <t>カニュウ</t>
    </rPh>
    <rPh sb="15" eb="17">
      <t>イコウ</t>
    </rPh>
    <rPh sb="17" eb="19">
      <t>カクニン</t>
    </rPh>
    <phoneticPr fontId="3"/>
  </si>
  <si>
    <t>★ 労働契約上、要件を満たす契約を結んでいる場合、社会保険への加入義務が生じます。</t>
    <phoneticPr fontId="3"/>
  </si>
  <si>
    <t>　しかし、従業員によっては「扶養の範囲内で働きたい」という家庭の事情もあり得ることから、早いタイミングで改正内容を周知し、場合によっては契約内容の見直しをするなどの選択肢が想定されます。</t>
    <phoneticPr fontId="3"/>
  </si>
  <si>
    <t>★ 社会保険に加入することで、老後の年金増額や万が一働けなくなった場合に傷病手当金（概ね給与の3分の2）を受けることができ、長期的にプラスにもなり得るため懇切丁寧に説明することが重要です。</t>
    <phoneticPr fontId="3"/>
  </si>
  <si>
    <t>★ 企業が想定すべきリスクとして、万が一適用要件に合致するにもかかわらず、加入できていないパートタイムがいた場合、さかのぼって加入させる必要があり、その分の保険料の納付も必要になります。</t>
    <phoneticPr fontId="3"/>
  </si>
  <si>
    <t>月収チェック（88，000円以上）</t>
    <rPh sb="0" eb="2">
      <t>ゲッシュウ</t>
    </rPh>
    <rPh sb="13" eb="14">
      <t>エン</t>
    </rPh>
    <rPh sb="14" eb="16">
      <t>イジョウ</t>
    </rPh>
    <phoneticPr fontId="3"/>
  </si>
  <si>
    <t>チェック項目</t>
    <rPh sb="4" eb="6">
      <t>コウモク</t>
    </rPh>
    <phoneticPr fontId="3"/>
  </si>
  <si>
    <t>週所定労働時間チェック（30H以上勤務先の社会保険に加入）</t>
    <rPh sb="0" eb="3">
      <t>シュウショテイ</t>
    </rPh>
    <rPh sb="3" eb="7">
      <t>ロウドウジカン</t>
    </rPh>
    <rPh sb="15" eb="17">
      <t>イジョウ</t>
    </rPh>
    <rPh sb="17" eb="20">
      <t>キンムサキ</t>
    </rPh>
    <phoneticPr fontId="3"/>
  </si>
  <si>
    <t>週所定労働時間チェック（20H以上勤務先の社会保険に加入）</t>
    <rPh sb="0" eb="3">
      <t>シュウショテイ</t>
    </rPh>
    <rPh sb="3" eb="7">
      <t>ロウドウジカン</t>
    </rPh>
    <rPh sb="15" eb="17">
      <t>イジョウ</t>
    </rPh>
    <rPh sb="17" eb="20">
      <t>キンムサキ</t>
    </rPh>
    <phoneticPr fontId="3"/>
  </si>
  <si>
    <t>シミュレーションのチェック基準</t>
    <rPh sb="13" eb="15">
      <t>キジュン</t>
    </rPh>
    <phoneticPr fontId="3"/>
  </si>
  <si>
    <t>適用拡大の
未適用</t>
    <rPh sb="0" eb="4">
      <t>テキヨウカクダイ</t>
    </rPh>
    <rPh sb="6" eb="9">
      <t>ミテキヨウ</t>
    </rPh>
    <phoneticPr fontId="3"/>
  </si>
  <si>
    <t>適用拡大の
適用</t>
    <rPh sb="0" eb="4">
      <t>テキヨウカクダイ</t>
    </rPh>
    <rPh sb="6" eb="8">
      <t>テキヨウ</t>
    </rPh>
    <phoneticPr fontId="3"/>
  </si>
  <si>
    <t>雇用保険</t>
    <rPh sb="0" eb="2">
      <t>コヨウ</t>
    </rPh>
    <rPh sb="2" eb="4">
      <t>ホケン</t>
    </rPh>
    <phoneticPr fontId="3"/>
  </si>
  <si>
    <t>週所定労働時間チェック（20H以上で加入）</t>
    <rPh sb="0" eb="3">
      <t>シュウショテイ</t>
    </rPh>
    <rPh sb="3" eb="7">
      <t>ロウドウジカン</t>
    </rPh>
    <rPh sb="15" eb="17">
      <t>イジョウ</t>
    </rPh>
    <rPh sb="18" eb="20">
      <t>カニュウ</t>
    </rPh>
    <phoneticPr fontId="3"/>
  </si>
  <si>
    <t>年収チェック（130万以上扶養外）国民年金・国民健康保険に加入</t>
    <rPh sb="0" eb="2">
      <t>ネンシュウ</t>
    </rPh>
    <rPh sb="10" eb="11">
      <t>マン</t>
    </rPh>
    <rPh sb="11" eb="13">
      <t>イジョウ</t>
    </rPh>
    <rPh sb="13" eb="15">
      <t>フヨウ</t>
    </rPh>
    <rPh sb="15" eb="16">
      <t>ガイ</t>
    </rPh>
    <rPh sb="17" eb="21">
      <t>コクミンネンキン</t>
    </rPh>
    <rPh sb="22" eb="24">
      <t>コクミン</t>
    </rPh>
    <rPh sb="24" eb="28">
      <t>ケンコウホケン</t>
    </rPh>
    <rPh sb="29" eb="31">
      <t>カニュウ</t>
    </rPh>
    <phoneticPr fontId="3"/>
  </si>
  <si>
    <t>年収チェック（130万以上扶養外）国民年金・国民健康保険に加入</t>
    <rPh sb="0" eb="2">
      <t>ネンシュウ</t>
    </rPh>
    <rPh sb="10" eb="11">
      <t>マン</t>
    </rPh>
    <rPh sb="11" eb="13">
      <t>イジョウ</t>
    </rPh>
    <rPh sb="13" eb="15">
      <t>フヨウ</t>
    </rPh>
    <rPh sb="15" eb="16">
      <t>ガイ</t>
    </rPh>
    <rPh sb="17" eb="19">
      <t>コクミン</t>
    </rPh>
    <rPh sb="19" eb="21">
      <t>ネンキン</t>
    </rPh>
    <rPh sb="22" eb="24">
      <t>コクミン</t>
    </rPh>
    <rPh sb="24" eb="26">
      <t>ケンコウ</t>
    </rPh>
    <rPh sb="26" eb="28">
      <t>ホケン</t>
    </rPh>
    <rPh sb="29" eb="31">
      <t>カニュウ</t>
    </rPh>
    <phoneticPr fontId="3"/>
  </si>
  <si>
    <t>参照セル
8.8万チェック</t>
    <rPh sb="0" eb="2">
      <t>サンショウ</t>
    </rPh>
    <rPh sb="8" eb="9">
      <t>マン</t>
    </rPh>
    <phoneticPr fontId="3"/>
  </si>
  <si>
    <t>家族手当</t>
    <rPh sb="0" eb="4">
      <t>カゾクテアテ</t>
    </rPh>
    <phoneticPr fontId="3"/>
  </si>
  <si>
    <t>住宅手当</t>
    <rPh sb="0" eb="4">
      <t>ジュウタクテアテ</t>
    </rPh>
    <phoneticPr fontId="3"/>
  </si>
  <si>
    <t>精皆勤手当</t>
    <rPh sb="0" eb="1">
      <t>セイ</t>
    </rPh>
    <rPh sb="1" eb="5">
      <t>カイキンテア</t>
    </rPh>
    <phoneticPr fontId="3"/>
  </si>
  <si>
    <t>深夜勤務手当</t>
    <rPh sb="0" eb="2">
      <t>シンヤ</t>
    </rPh>
    <rPh sb="2" eb="4">
      <t>キンム</t>
    </rPh>
    <rPh sb="4" eb="6">
      <t>テアテ</t>
    </rPh>
    <phoneticPr fontId="3"/>
  </si>
  <si>
    <t>休日出勤手当</t>
    <rPh sb="0" eb="2">
      <t>キュウジツ</t>
    </rPh>
    <rPh sb="2" eb="4">
      <t>シュッキン</t>
    </rPh>
    <rPh sb="4" eb="6">
      <t>テアテ</t>
    </rPh>
    <phoneticPr fontId="3"/>
  </si>
  <si>
    <t>時間外勤務手当</t>
    <rPh sb="0" eb="3">
      <t>ジカンガイ</t>
    </rPh>
    <rPh sb="3" eb="5">
      <t>キンム</t>
    </rPh>
    <rPh sb="5" eb="7">
      <t>テアテ</t>
    </rPh>
    <phoneticPr fontId="3"/>
  </si>
  <si>
    <t>※時間外勤務・休日出勤・深夜勤務等手当は見込み金額です！</t>
    <rPh sb="1" eb="4">
      <t>ジカンガイ</t>
    </rPh>
    <rPh sb="4" eb="6">
      <t>キンム</t>
    </rPh>
    <rPh sb="7" eb="9">
      <t>キュウジツ</t>
    </rPh>
    <rPh sb="9" eb="11">
      <t>シュッキン</t>
    </rPh>
    <rPh sb="12" eb="14">
      <t>シンヤ</t>
    </rPh>
    <rPh sb="14" eb="16">
      <t>キンム</t>
    </rPh>
    <rPh sb="16" eb="17">
      <t>トウ</t>
    </rPh>
    <rPh sb="17" eb="19">
      <t>テアテ</t>
    </rPh>
    <rPh sb="20" eb="22">
      <t>ミコ</t>
    </rPh>
    <rPh sb="23" eb="25">
      <t>キンガク</t>
    </rPh>
    <phoneticPr fontId="3"/>
  </si>
  <si>
    <t>⇒　⇒　⇒</t>
    <phoneticPr fontId="3"/>
  </si>
  <si>
    <t>月収（標準報酬月額算定基準）</t>
    <rPh sb="0" eb="2">
      <t>ゲッシュウ</t>
    </rPh>
    <rPh sb="3" eb="5">
      <t>ヒョウジュン</t>
    </rPh>
    <rPh sb="5" eb="7">
      <t>ホウシュウ</t>
    </rPh>
    <rPh sb="7" eb="9">
      <t>ガツガク</t>
    </rPh>
    <rPh sb="9" eb="11">
      <t>サンテイ</t>
    </rPh>
    <rPh sb="11" eb="13">
      <t>キジュン</t>
    </rPh>
    <phoneticPr fontId="3"/>
  </si>
  <si>
    <r>
      <rPr>
        <b/>
        <sz val="11"/>
        <color rgb="FFFF0000"/>
        <rFont val="ＭＳ ゴシック"/>
        <family val="3"/>
        <charset val="128"/>
      </rPr>
      <t xml:space="preserve">※ </t>
    </r>
    <r>
      <rPr>
        <b/>
        <sz val="10"/>
        <rFont val="ＭＳ ゴシック"/>
        <family val="3"/>
        <charset val="128"/>
      </rPr>
      <t>8.8万円算定に算入される手当-①</t>
    </r>
    <rPh sb="5" eb="7">
      <t>マンエン</t>
    </rPh>
    <rPh sb="7" eb="9">
      <t>サンテイ</t>
    </rPh>
    <rPh sb="10" eb="12">
      <t>サンニュウ</t>
    </rPh>
    <rPh sb="15" eb="17">
      <t>テアテ</t>
    </rPh>
    <phoneticPr fontId="3"/>
  </si>
  <si>
    <r>
      <rPr>
        <b/>
        <sz val="11"/>
        <color rgb="FFFF0000"/>
        <rFont val="ＭＳ ゴシック"/>
        <family val="3"/>
        <charset val="128"/>
      </rPr>
      <t xml:space="preserve">※ </t>
    </r>
    <r>
      <rPr>
        <b/>
        <sz val="11"/>
        <rFont val="ＭＳ ゴシック"/>
        <family val="3"/>
        <charset val="128"/>
      </rPr>
      <t>報酬月額算定に算入される諸手当-③　⇒　⇒　⇒</t>
    </r>
    <rPh sb="2" eb="4">
      <t>ホウシュウ</t>
    </rPh>
    <rPh sb="4" eb="6">
      <t>ゲツガク</t>
    </rPh>
    <rPh sb="6" eb="8">
      <t>サンテイ</t>
    </rPh>
    <rPh sb="9" eb="11">
      <t>サンニュウ</t>
    </rPh>
    <rPh sb="14" eb="17">
      <t>ショテアテ</t>
    </rPh>
    <phoneticPr fontId="3"/>
  </si>
  <si>
    <t>月収
（8.8万円算定基準）</t>
    <rPh sb="0" eb="2">
      <t>ゲッシュウ</t>
    </rPh>
    <rPh sb="7" eb="8">
      <t>マン</t>
    </rPh>
    <rPh sb="8" eb="9">
      <t>エン</t>
    </rPh>
    <rPh sb="9" eb="11">
      <t>サンテイ</t>
    </rPh>
    <rPh sb="11" eb="13">
      <t>キジュン</t>
    </rPh>
    <phoneticPr fontId="3"/>
  </si>
  <si>
    <t>月収
（年収算定基準）</t>
    <rPh sb="0" eb="2">
      <t>ゲッシュウ</t>
    </rPh>
    <rPh sb="4" eb="6">
      <t>ネンシュウ</t>
    </rPh>
    <rPh sb="6" eb="8">
      <t>サンテイ</t>
    </rPh>
    <rPh sb="8" eb="10">
      <t>キジュン</t>
    </rPh>
    <phoneticPr fontId="3"/>
  </si>
  <si>
    <t>月収算定基準の諸手当</t>
    <rPh sb="0" eb="2">
      <t>ゲッシュウ</t>
    </rPh>
    <rPh sb="2" eb="4">
      <t>サンテイ</t>
    </rPh>
    <rPh sb="4" eb="6">
      <t>キジュン</t>
    </rPh>
    <rPh sb="7" eb="10">
      <t>ショテアテ</t>
    </rPh>
    <phoneticPr fontId="3"/>
  </si>
  <si>
    <t>標準報酬月額算定基準の諸手当</t>
    <rPh sb="0" eb="6">
      <t>ヒョウジュンホウシュウゲツガク</t>
    </rPh>
    <rPh sb="6" eb="8">
      <t>サンテイ</t>
    </rPh>
    <rPh sb="8" eb="10">
      <t>キジュン</t>
    </rPh>
    <rPh sb="11" eb="14">
      <t>ショテアテ</t>
    </rPh>
    <phoneticPr fontId="3"/>
  </si>
  <si>
    <t>8.8万円算定基準の諸手当</t>
    <rPh sb="3" eb="5">
      <t>マンエン</t>
    </rPh>
    <rPh sb="5" eb="9">
      <t>サンテイキジュン</t>
    </rPh>
    <rPh sb="10" eb="13">
      <t>ショテアテ</t>
    </rPh>
    <phoneticPr fontId="3"/>
  </si>
  <si>
    <t>１ヵ月給与総額（標準報酬月額算定基準）</t>
    <rPh sb="0" eb="3">
      <t>イッカゲツ</t>
    </rPh>
    <rPh sb="3" eb="5">
      <t>キュウヨ</t>
    </rPh>
    <rPh sb="5" eb="7">
      <t>ソウガク</t>
    </rPh>
    <rPh sb="8" eb="14">
      <t>ヒョウジュンホウシュウゲツガク</t>
    </rPh>
    <rPh sb="14" eb="16">
      <t>サンテイ</t>
    </rPh>
    <rPh sb="16" eb="18">
      <t>キジュン</t>
    </rPh>
    <phoneticPr fontId="3"/>
  </si>
  <si>
    <t>年間給与総額（月収×12+賞与）</t>
    <rPh sb="0" eb="1">
      <t>ネン</t>
    </rPh>
    <rPh sb="1" eb="2">
      <t>カン</t>
    </rPh>
    <rPh sb="2" eb="4">
      <t>キュウヨ</t>
    </rPh>
    <rPh sb="4" eb="5">
      <t>ソウ</t>
    </rPh>
    <rPh sb="5" eb="6">
      <t>ガク</t>
    </rPh>
    <rPh sb="7" eb="9">
      <t>ゲッシュウ</t>
    </rPh>
    <rPh sb="13" eb="15">
      <t>ショウヨ</t>
    </rPh>
    <phoneticPr fontId="3"/>
  </si>
  <si>
    <t>※通勤手当は非課税限度額までとします。</t>
    <rPh sb="1" eb="5">
      <t>ツウキンテアテ</t>
    </rPh>
    <rPh sb="6" eb="9">
      <t>ヒカゼイ</t>
    </rPh>
    <rPh sb="9" eb="11">
      <t>ゲンド</t>
    </rPh>
    <rPh sb="11" eb="12">
      <t>ガク</t>
    </rPh>
    <phoneticPr fontId="3"/>
  </si>
  <si>
    <r>
      <t>※非課税限度額を超える通勤手当は</t>
    </r>
    <r>
      <rPr>
        <b/>
        <u/>
        <sz val="11"/>
        <rFont val="ＭＳ ゴシック"/>
        <family val="3"/>
        <charset val="128"/>
      </rPr>
      <t>通勤手当②</t>
    </r>
    <r>
      <rPr>
        <b/>
        <sz val="11"/>
        <rFont val="ＭＳ ゴシック"/>
        <family val="3"/>
        <charset val="128"/>
      </rPr>
      <t>等として、課税対象として別途に手当を設けます。</t>
    </r>
    <rPh sb="1" eb="4">
      <t>ヒカゼイ</t>
    </rPh>
    <rPh sb="4" eb="7">
      <t>ゲンドガク</t>
    </rPh>
    <rPh sb="8" eb="9">
      <t>コ</t>
    </rPh>
    <rPh sb="11" eb="13">
      <t>ツウキン</t>
    </rPh>
    <rPh sb="13" eb="15">
      <t>テアテ</t>
    </rPh>
    <rPh sb="16" eb="20">
      <t>ツウキンテアテ</t>
    </rPh>
    <rPh sb="21" eb="22">
      <t>トウ</t>
    </rPh>
    <rPh sb="26" eb="30">
      <t>カゼイタイショウ</t>
    </rPh>
    <rPh sb="33" eb="35">
      <t>ベット</t>
    </rPh>
    <rPh sb="36" eb="38">
      <t>テアテ</t>
    </rPh>
    <rPh sb="39" eb="40">
      <t>モウ</t>
    </rPh>
    <phoneticPr fontId="3"/>
  </si>
  <si>
    <r>
      <rPr>
        <b/>
        <sz val="11"/>
        <color rgb="FFFF0000"/>
        <rFont val="ＭＳ ゴシック"/>
        <family val="3"/>
        <charset val="128"/>
      </rPr>
      <t xml:space="preserve">※ </t>
    </r>
    <r>
      <rPr>
        <b/>
        <sz val="11"/>
        <rFont val="ＭＳ ゴシック"/>
        <family val="3"/>
        <charset val="128"/>
      </rPr>
      <t>年収算定に算入される諸手当（課税対象）-②　⇒　⇒</t>
    </r>
    <rPh sb="2" eb="4">
      <t>ネンシュウ</t>
    </rPh>
    <rPh sb="4" eb="6">
      <t>サンテイ</t>
    </rPh>
    <rPh sb="7" eb="9">
      <t>サンニュウ</t>
    </rPh>
    <rPh sb="12" eb="15">
      <t>ショテアテ</t>
    </rPh>
    <rPh sb="16" eb="18">
      <t>カゼイ</t>
    </rPh>
    <rPh sb="18" eb="20">
      <t>タイショウ</t>
    </rPh>
    <phoneticPr fontId="3"/>
  </si>
  <si>
    <r>
      <rPr>
        <b/>
        <sz val="14"/>
        <color rgb="FF0000CC"/>
        <rFont val="ＭＳ Ｐゴシック"/>
        <family val="3"/>
        <charset val="128"/>
      </rPr>
      <t>　　</t>
    </r>
    <r>
      <rPr>
        <b/>
        <u/>
        <sz val="14"/>
        <color rgb="FF0000CC"/>
        <rFont val="ＭＳ Ｐゴシック"/>
        <family val="3"/>
        <charset val="128"/>
      </rPr>
      <t>Ｑ＆Ａ集（その２） 
(令和４年 10 月施行分)より】</t>
    </r>
    <rPh sb="5" eb="6">
      <t>シュウ</t>
    </rPh>
    <rPh sb="14" eb="16">
      <t>レイワ</t>
    </rPh>
    <rPh sb="17" eb="18">
      <t>ネン</t>
    </rPh>
    <rPh sb="22" eb="23">
      <t>ガツ</t>
    </rPh>
    <rPh sb="23" eb="25">
      <t>セコウ</t>
    </rPh>
    <rPh sb="25" eb="26">
      <t>ブン</t>
    </rPh>
    <phoneticPr fontId="3"/>
  </si>
  <si>
    <t>以上で。　有効にご活用いただければ幸いです！</t>
    <rPh sb="0" eb="2">
      <t>イジョウ</t>
    </rPh>
    <rPh sb="5" eb="7">
      <t>ユウコウ</t>
    </rPh>
    <rPh sb="9" eb="11">
      <t>カツヨウ</t>
    </rPh>
    <rPh sb="17" eb="18">
      <t>サイワ</t>
    </rPh>
    <phoneticPr fontId="3"/>
  </si>
  <si>
    <t>★ ２０２３年８月１日現在の法律を基準に作成しています！　</t>
    <rPh sb="6" eb="7">
      <t>ネン</t>
    </rPh>
    <rPh sb="8" eb="9">
      <t>ガツ</t>
    </rPh>
    <rPh sb="10" eb="11">
      <t>ニチ</t>
    </rPh>
    <rPh sb="11" eb="13">
      <t>ゲンザイ</t>
    </rPh>
    <rPh sb="14" eb="16">
      <t>ホウリツ</t>
    </rPh>
    <rPh sb="17" eb="19">
      <t>キジュン</t>
    </rPh>
    <rPh sb="20" eb="22">
      <t>サクセイ</t>
    </rPh>
    <phoneticPr fontId="3"/>
  </si>
  <si>
    <r>
      <t xml:space="preserve">★ </t>
    </r>
    <r>
      <rPr>
        <b/>
        <u/>
        <sz val="12"/>
        <color rgb="FFFF0000"/>
        <rFont val="ＭＳ Ｐゴシック"/>
        <family val="3"/>
        <charset val="128"/>
      </rPr>
      <t>２０２３年８月１日現在</t>
    </r>
    <r>
      <rPr>
        <b/>
        <u/>
        <sz val="12"/>
        <rFont val="ＭＳ Ｐゴシック"/>
        <family val="3"/>
        <charset val="128"/>
      </rPr>
      <t>の法律基準によるシミュレーションのチェックポイント</t>
    </r>
    <rPh sb="6" eb="7">
      <t>ネン</t>
    </rPh>
    <rPh sb="8" eb="9">
      <t>ガツ</t>
    </rPh>
    <rPh sb="10" eb="11">
      <t>ニチ</t>
    </rPh>
    <rPh sb="11" eb="13">
      <t>ゲンザイ</t>
    </rPh>
    <rPh sb="14" eb="16">
      <t>ホウリツ</t>
    </rPh>
    <rPh sb="16" eb="18">
      <t>キジュン</t>
    </rPh>
    <phoneticPr fontId="3"/>
  </si>
  <si>
    <t>従業員への説明資料作成に、本ソフトをご活用下さい！</t>
    <rPh sb="0" eb="3">
      <t>ジュウギョウイン</t>
    </rPh>
    <rPh sb="5" eb="7">
      <t>セツメイ</t>
    </rPh>
    <rPh sb="7" eb="9">
      <t>シリョウ</t>
    </rPh>
    <rPh sb="9" eb="11">
      <t>サクセイ</t>
    </rPh>
    <rPh sb="13" eb="14">
      <t>ホン</t>
    </rPh>
    <rPh sb="19" eb="21">
      <t>カツヨウ</t>
    </rPh>
    <rPh sb="21" eb="22">
      <t>クダ</t>
    </rPh>
    <phoneticPr fontId="3"/>
  </si>
  <si>
    <t>目に見えるデータを示しながら、本人への意向確認を行うことができます。</t>
    <rPh sb="0" eb="1">
      <t>メ</t>
    </rPh>
    <rPh sb="2" eb="3">
      <t>ミ</t>
    </rPh>
    <rPh sb="9" eb="10">
      <t>シメ</t>
    </rPh>
    <rPh sb="24" eb="25">
      <t>オコナ</t>
    </rPh>
    <phoneticPr fontId="3"/>
  </si>
  <si>
    <r>
      <t>　</t>
    </r>
    <r>
      <rPr>
        <u/>
        <sz val="18"/>
        <color rgb="FF0000CC"/>
        <rFont val="ＭＳ Ｐゴシック"/>
        <family val="3"/>
        <charset val="128"/>
      </rPr>
      <t>手取り年収</t>
    </r>
    <rPh sb="1" eb="3">
      <t>テド</t>
    </rPh>
    <rPh sb="4" eb="6">
      <t>ネンシュウ</t>
    </rPh>
    <phoneticPr fontId="3"/>
  </si>
  <si>
    <t>※選択「２」でも、週所定労働時間３０時間以上は自動的に勤務先の社会保険料計算！</t>
    <rPh sb="1" eb="3">
      <t>センタク</t>
    </rPh>
    <rPh sb="9" eb="10">
      <t>シュウ</t>
    </rPh>
    <rPh sb="10" eb="12">
      <t>ショテイ</t>
    </rPh>
    <rPh sb="12" eb="14">
      <t>ロウドウ</t>
    </rPh>
    <rPh sb="14" eb="16">
      <t>ジカン</t>
    </rPh>
    <rPh sb="18" eb="20">
      <t>ジカン</t>
    </rPh>
    <rPh sb="20" eb="22">
      <t>イジョウ</t>
    </rPh>
    <rPh sb="23" eb="26">
      <t>ジドウテキ</t>
    </rPh>
    <rPh sb="27" eb="30">
      <t>キンムサキ</t>
    </rPh>
    <rPh sb="31" eb="35">
      <t>シャカイホケン</t>
    </rPh>
    <rPh sb="35" eb="36">
      <t>リョウ</t>
    </rPh>
    <rPh sb="36" eb="38">
      <t>ケイサン</t>
    </rPh>
    <phoneticPr fontId="3"/>
  </si>
  <si>
    <t>介護保険料</t>
    <rPh sb="0" eb="4">
      <t>カイゴホケン</t>
    </rPh>
    <rPh sb="4" eb="5">
      <t>リョウ</t>
    </rPh>
    <phoneticPr fontId="3"/>
  </si>
  <si>
    <t>介護保険料負担開始年齢</t>
    <rPh sb="0" eb="2">
      <t>カイゴ</t>
    </rPh>
    <rPh sb="2" eb="5">
      <t>ホケンリョウ</t>
    </rPh>
    <rPh sb="5" eb="7">
      <t>フタン</t>
    </rPh>
    <rPh sb="7" eb="9">
      <t>カイシ</t>
    </rPh>
    <rPh sb="9" eb="11">
      <t>ネンレイ</t>
    </rPh>
    <phoneticPr fontId="3"/>
  </si>
  <si>
    <t>所得税基礎控除額</t>
    <rPh sb="0" eb="3">
      <t>ショトクゼイ</t>
    </rPh>
    <rPh sb="3" eb="8">
      <t>キソコウジョガク</t>
    </rPh>
    <phoneticPr fontId="3"/>
  </si>
  <si>
    <t>住民税基礎控除額</t>
    <rPh sb="0" eb="3">
      <t>ジュウミンゼイ</t>
    </rPh>
    <rPh sb="3" eb="8">
      <t>キソコウジョガク</t>
    </rPh>
    <phoneticPr fontId="3"/>
  </si>
  <si>
    <t>納税者本人の合計所得金額　2,400万円以下</t>
    <phoneticPr fontId="3"/>
  </si>
  <si>
    <t>どこの地域でも原則43万円</t>
    <phoneticPr fontId="3"/>
  </si>
  <si>
    <t>復興特別所得税</t>
  </si>
  <si>
    <t>【合計課税所得金額が200万円以下の場合】</t>
    <phoneticPr fontId="3"/>
  </si>
  <si>
    <t>【合計課税所得金額が200万円を超える場合】</t>
    <phoneticPr fontId="3"/>
  </si>
  <si>
    <t>参照値</t>
    <rPh sb="0" eb="3">
      <t>サンショウチ</t>
    </rPh>
    <phoneticPr fontId="3"/>
  </si>
  <si>
    <t>次の1,2のいずれか少ない金額の5％が調整控除額
　1.人的控除額の差額の合計金額
　2.合計所得金額</t>
    <phoneticPr fontId="3"/>
  </si>
  <si>
    <t>【人的控除額の差額の合計金額－（合計課税所得金額－200万円）】×5％
ただし、計算結果が2,500円未満のときは、2,500円。</t>
    <phoneticPr fontId="3"/>
  </si>
  <si>
    <t>住民税 調整控除の計算方法</t>
    <rPh sb="0" eb="3">
      <t>ジュウミンゼイ</t>
    </rPh>
    <phoneticPr fontId="3"/>
  </si>
  <si>
    <t>厚生年金・健保保険料率に変更があれば修正入力します！</t>
    <rPh sb="0" eb="2">
      <t>コウセイ</t>
    </rPh>
    <rPh sb="2" eb="4">
      <t>ネンキン</t>
    </rPh>
    <rPh sb="5" eb="7">
      <t>ケンポ</t>
    </rPh>
    <rPh sb="7" eb="10">
      <t>ホケンリョウ</t>
    </rPh>
    <rPh sb="10" eb="11">
      <t>リツ</t>
    </rPh>
    <rPh sb="12" eb="14">
      <t>ヘンコウ</t>
    </rPh>
    <rPh sb="18" eb="20">
      <t>シュウセイ</t>
    </rPh>
    <rPh sb="20" eb="22">
      <t>ニュウリョク</t>
    </rPh>
    <phoneticPr fontId="3"/>
  </si>
  <si>
    <t>【手　順】</t>
    <rPh sb="1" eb="2">
      <t>テ</t>
    </rPh>
    <rPh sb="3" eb="4">
      <t>ジュン</t>
    </rPh>
    <phoneticPr fontId="3"/>
  </si>
  <si>
    <r>
      <t xml:space="preserve">② </t>
    </r>
    <r>
      <rPr>
        <b/>
        <sz val="12"/>
        <color rgb="FF0000FF"/>
        <rFont val="ＭＳ Ｐゴシック"/>
        <family val="3"/>
        <charset val="128"/>
      </rPr>
      <t>従業員コード番号、氏名、個別に該当する地方税の市区町村名</t>
    </r>
    <r>
      <rPr>
        <b/>
        <sz val="12"/>
        <color rgb="FFFF0000"/>
        <rFont val="ＭＳ Ｐゴシック"/>
        <family val="3"/>
        <charset val="128"/>
      </rPr>
      <t>（注1）</t>
    </r>
    <r>
      <rPr>
        <b/>
        <sz val="12"/>
        <color theme="1"/>
        <rFont val="ＭＳ Ｐゴシック"/>
        <family val="3"/>
        <charset val="128"/>
      </rPr>
      <t>、</t>
    </r>
    <r>
      <rPr>
        <b/>
        <sz val="12"/>
        <color rgb="FF0000FF"/>
        <rFont val="ＭＳ Ｐゴシック"/>
        <family val="3"/>
        <charset val="128"/>
      </rPr>
      <t>生年月日、入社年月日、週所定労働日数、週所定労働時間数</t>
    </r>
    <r>
      <rPr>
        <b/>
        <sz val="12"/>
        <color theme="1"/>
        <rFont val="ＭＳ Ｐゴシック"/>
        <family val="3"/>
        <charset val="128"/>
      </rPr>
      <t>、</t>
    </r>
    <rPh sb="2" eb="5">
      <t>ジュウギョウイン</t>
    </rPh>
    <rPh sb="8" eb="10">
      <t>バンゴウ</t>
    </rPh>
    <rPh sb="11" eb="13">
      <t>シメイ</t>
    </rPh>
    <rPh sb="14" eb="16">
      <t>コベツ</t>
    </rPh>
    <rPh sb="17" eb="19">
      <t>ガイトウ</t>
    </rPh>
    <rPh sb="21" eb="24">
      <t>チホウゼイ</t>
    </rPh>
    <rPh sb="25" eb="29">
      <t>シクチョウソン</t>
    </rPh>
    <rPh sb="29" eb="30">
      <t>メイ</t>
    </rPh>
    <rPh sb="31" eb="32">
      <t>チュウ</t>
    </rPh>
    <rPh sb="35" eb="37">
      <t>セイネン</t>
    </rPh>
    <rPh sb="37" eb="39">
      <t>ガッピ</t>
    </rPh>
    <rPh sb="40" eb="42">
      <t>ニュウシャ</t>
    </rPh>
    <rPh sb="42" eb="45">
      <t>ネンガッピ</t>
    </rPh>
    <rPh sb="46" eb="47">
      <t>シュウ</t>
    </rPh>
    <rPh sb="47" eb="53">
      <t>ショテイロウドウニッスウ</t>
    </rPh>
    <rPh sb="54" eb="61">
      <t>シュウショテイロウドウジカン</t>
    </rPh>
    <rPh sb="61" eb="62">
      <t>スウ</t>
    </rPh>
    <phoneticPr fontId="3"/>
  </si>
  <si>
    <r>
      <t xml:space="preserve">① </t>
    </r>
    <r>
      <rPr>
        <b/>
        <u/>
        <sz val="14"/>
        <rFont val="ＭＳ Ｐゴシック"/>
        <family val="3"/>
        <charset val="128"/>
      </rPr>
      <t>使用を開始する前にセルの「ロック」を解除して、シートの保護の再設定のお願いします！</t>
    </r>
    <phoneticPr fontId="3"/>
  </si>
  <si>
    <t>★セルの書式設定で入力セルを「ロック」しています。解除してください。</t>
    <rPh sb="4" eb="6">
      <t>ショシキ</t>
    </rPh>
    <rPh sb="6" eb="8">
      <t>セッテイ</t>
    </rPh>
    <rPh sb="9" eb="11">
      <t>ニュウリョク</t>
    </rPh>
    <rPh sb="25" eb="27">
      <t>カイジョ</t>
    </rPh>
    <phoneticPr fontId="3"/>
  </si>
  <si>
    <r>
      <rPr>
        <b/>
        <sz val="14"/>
        <color rgb="FF0000FF"/>
        <rFont val="ＭＳ Ｐゴシック"/>
        <family val="3"/>
        <charset val="128"/>
      </rPr>
      <t xml:space="preserve">   </t>
    </r>
    <r>
      <rPr>
        <b/>
        <u/>
        <sz val="14"/>
        <color indexed="12"/>
        <rFont val="ＭＳ Ｐゴシック"/>
        <family val="3"/>
        <charset val="128"/>
      </rPr>
      <t>青字＝入力セル</t>
    </r>
    <rPh sb="3" eb="4">
      <t>アオ</t>
    </rPh>
    <rPh sb="4" eb="5">
      <t>ジ</t>
    </rPh>
    <rPh sb="6" eb="8">
      <t>ニュウリョク</t>
    </rPh>
    <phoneticPr fontId="3"/>
  </si>
  <si>
    <t>改訂後
時間給</t>
    <rPh sb="0" eb="3">
      <t>カイテイゴ</t>
    </rPh>
    <rPh sb="4" eb="7">
      <t>ジカンキュウ</t>
    </rPh>
    <phoneticPr fontId="3"/>
  </si>
  <si>
    <t>週所定労働時間延長シミュレーション</t>
    <rPh sb="0" eb="1">
      <t>シュウ</t>
    </rPh>
    <rPh sb="1" eb="7">
      <t>ショテイロウドウジカン</t>
    </rPh>
    <rPh sb="7" eb="9">
      <t>エンチョウ</t>
    </rPh>
    <phoneticPr fontId="3"/>
  </si>
  <si>
    <t>所定労働時間／週</t>
    <rPh sb="0" eb="2">
      <t>ショテイ</t>
    </rPh>
    <rPh sb="1" eb="2">
      <t>マドコロ</t>
    </rPh>
    <rPh sb="2" eb="6">
      <t>ロウドウジカン</t>
    </rPh>
    <rPh sb="7" eb="8">
      <t>シュウ</t>
    </rPh>
    <phoneticPr fontId="3"/>
  </si>
  <si>
    <t>所定労働時間／年</t>
    <rPh sb="0" eb="2">
      <t>ショテイ</t>
    </rPh>
    <rPh sb="2" eb="6">
      <t>ロウドウジカン</t>
    </rPh>
    <rPh sb="7" eb="8">
      <t>ネン</t>
    </rPh>
    <phoneticPr fontId="3"/>
  </si>
  <si>
    <t>昇給額
（案）</t>
    <rPh sb="0" eb="2">
      <t>ショウキュウ</t>
    </rPh>
    <rPh sb="2" eb="3">
      <t>ガク</t>
    </rPh>
    <rPh sb="5" eb="6">
      <t>アン</t>
    </rPh>
    <phoneticPr fontId="3"/>
  </si>
  <si>
    <t>時間給
（現行）</t>
    <rPh sb="0" eb="3">
      <t>ジカンキュウ</t>
    </rPh>
    <rPh sb="5" eb="7">
      <t>ゲンコウ</t>
    </rPh>
    <phoneticPr fontId="3"/>
  </si>
  <si>
    <t>時間給（現行）</t>
    <rPh sb="0" eb="2">
      <t>ジカン</t>
    </rPh>
    <rPh sb="2" eb="3">
      <t>キュウ</t>
    </rPh>
    <rPh sb="4" eb="6">
      <t>ゲンコウ</t>
    </rPh>
    <phoneticPr fontId="3"/>
  </si>
  <si>
    <t>昇給額（案）</t>
    <rPh sb="0" eb="2">
      <t>ショウキュウ</t>
    </rPh>
    <rPh sb="2" eb="3">
      <t>ガク</t>
    </rPh>
    <rPh sb="4" eb="5">
      <t>アン</t>
    </rPh>
    <phoneticPr fontId="3"/>
  </si>
  <si>
    <t>改訂後時間給</t>
    <rPh sb="0" eb="3">
      <t>カイテイゴ</t>
    </rPh>
    <rPh sb="3" eb="6">
      <t>ジカンキュウ</t>
    </rPh>
    <phoneticPr fontId="3"/>
  </si>
  <si>
    <t>１ヵ月給与総額
諸手当算入
（月収算定基準）</t>
    <rPh sb="0" eb="3">
      <t>イッカゲツ</t>
    </rPh>
    <rPh sb="3" eb="5">
      <t>キュウヨ</t>
    </rPh>
    <rPh sb="5" eb="7">
      <t>ソウガク</t>
    </rPh>
    <rPh sb="8" eb="11">
      <t>ショテアテ</t>
    </rPh>
    <rPh sb="11" eb="13">
      <t>サンニュウ</t>
    </rPh>
    <rPh sb="15" eb="17">
      <t>ゲッシュウ</t>
    </rPh>
    <rPh sb="17" eb="19">
      <t>サンテイ</t>
    </rPh>
    <rPh sb="19" eb="21">
      <t>キジュン</t>
    </rPh>
    <phoneticPr fontId="3"/>
  </si>
  <si>
    <t>条件付き書式設定！</t>
    <phoneticPr fontId="3"/>
  </si>
  <si>
    <t>100万円以下</t>
    <rPh sb="3" eb="5">
      <t>マンエン</t>
    </rPh>
    <rPh sb="5" eb="7">
      <t>イカ</t>
    </rPh>
    <phoneticPr fontId="3"/>
  </si>
  <si>
    <t>100万円より大</t>
    <rPh sb="3" eb="5">
      <t>マンエン</t>
    </rPh>
    <rPh sb="7" eb="8">
      <t>ダイ</t>
    </rPh>
    <phoneticPr fontId="3"/>
  </si>
  <si>
    <t>130万円以上</t>
    <rPh sb="3" eb="5">
      <t>マンエン</t>
    </rPh>
    <rPh sb="5" eb="7">
      <t>イジョウ</t>
    </rPh>
    <phoneticPr fontId="3"/>
  </si>
  <si>
    <t>103万円より大</t>
    <rPh sb="3" eb="5">
      <t>マンエン</t>
    </rPh>
    <rPh sb="7" eb="8">
      <t>ダイ</t>
    </rPh>
    <phoneticPr fontId="3"/>
  </si>
  <si>
    <t>-</t>
    <phoneticPr fontId="3"/>
  </si>
  <si>
    <t>手取り年
収増減</t>
    <rPh sb="0" eb="2">
      <t>テド</t>
    </rPh>
    <rPh sb="3" eb="4">
      <t>ネン</t>
    </rPh>
    <rPh sb="5" eb="6">
      <t>オサム</t>
    </rPh>
    <rPh sb="6" eb="8">
      <t>ゾウゲン</t>
    </rPh>
    <phoneticPr fontId="3"/>
  </si>
  <si>
    <t>週所定労働時間（35H上限設定）</t>
    <rPh sb="0" eb="1">
      <t>シュウ</t>
    </rPh>
    <rPh sb="1" eb="7">
      <t>ショテイロウドウジカン</t>
    </rPh>
    <rPh sb="11" eb="13">
      <t>ジョウゲン</t>
    </rPh>
    <rPh sb="13" eb="15">
      <t>セッテイ</t>
    </rPh>
    <phoneticPr fontId="3"/>
  </si>
  <si>
    <t>　円</t>
    <rPh sb="1" eb="2">
      <t>エン</t>
    </rPh>
    <phoneticPr fontId="3"/>
  </si>
  <si>
    <t>住民税の壁</t>
    <rPh sb="0" eb="3">
      <t>ジュウミンゼイ</t>
    </rPh>
    <rPh sb="4" eb="5">
      <t>カベ</t>
    </rPh>
    <phoneticPr fontId="3"/>
  </si>
  <si>
    <t>所得税の壁</t>
    <rPh sb="0" eb="3">
      <t>ショトクゼイ</t>
    </rPh>
    <rPh sb="4" eb="5">
      <t>カベ</t>
    </rPh>
    <phoneticPr fontId="3"/>
  </si>
  <si>
    <t>国保・国年の壁</t>
    <rPh sb="0" eb="2">
      <t>コクホ</t>
    </rPh>
    <rPh sb="3" eb="5">
      <t>コクネン</t>
    </rPh>
    <rPh sb="6" eb="7">
      <t>カベ</t>
    </rPh>
    <phoneticPr fontId="3"/>
  </si>
  <si>
    <t>106万円以上</t>
    <rPh sb="3" eb="4">
      <t>マン</t>
    </rPh>
    <rPh sb="4" eb="5">
      <t>エン</t>
    </rPh>
    <rPh sb="5" eb="7">
      <t>イジョウ</t>
    </rPh>
    <phoneticPr fontId="3"/>
  </si>
  <si>
    <t>社会保険加入の壁 8.8万円/月</t>
    <rPh sb="0" eb="4">
      <t>シャカイホケン</t>
    </rPh>
    <rPh sb="4" eb="6">
      <t>カニュウ</t>
    </rPh>
    <rPh sb="7" eb="8">
      <t>カベ</t>
    </rPh>
    <rPh sb="12" eb="14">
      <t>マンエン</t>
    </rPh>
    <rPh sb="15" eb="16">
      <t>ツキ</t>
    </rPh>
    <phoneticPr fontId="3"/>
  </si>
  <si>
    <t>被用者区分</t>
    <rPh sb="0" eb="3">
      <t>ヒヨウシャ</t>
    </rPh>
    <rPh sb="3" eb="5">
      <t>クブン</t>
    </rPh>
    <phoneticPr fontId="3"/>
  </si>
  <si>
    <t>会社の社会保険に加入！</t>
    <rPh sb="8" eb="10">
      <t>カニュウ</t>
    </rPh>
    <phoneticPr fontId="3"/>
  </si>
  <si>
    <t>国保・国年に加入！</t>
    <phoneticPr fontId="3"/>
  </si>
  <si>
    <t>条件付き書式設定（Ｈ列）！</t>
    <rPh sb="10" eb="11">
      <t>レツ</t>
    </rPh>
    <phoneticPr fontId="3"/>
  </si>
  <si>
    <t>賃金の増額</t>
    <rPh sb="0" eb="2">
      <t>チンギン</t>
    </rPh>
    <rPh sb="3" eb="5">
      <t>ゾウガク</t>
    </rPh>
    <phoneticPr fontId="3"/>
  </si>
  <si>
    <t>未満</t>
    <rPh sb="0" eb="2">
      <t>ミマン</t>
    </rPh>
    <phoneticPr fontId="3"/>
  </si>
  <si>
    <t>社会保険適用促進手当（標準報酬月額に算入する！）</t>
    <rPh sb="0" eb="4">
      <t>シャカイホケン</t>
    </rPh>
    <rPh sb="4" eb="6">
      <t>テキヨウ</t>
    </rPh>
    <rPh sb="6" eb="8">
      <t>ソクシン</t>
    </rPh>
    <rPh sb="8" eb="10">
      <t>テアテ</t>
    </rPh>
    <phoneticPr fontId="3"/>
  </si>
  <si>
    <t>社会保険適用促進手当（標準報酬月額に算入しない！）</t>
    <rPh sb="0" eb="4">
      <t>シャカイホケン</t>
    </rPh>
    <rPh sb="4" eb="6">
      <t>テキヨウ</t>
    </rPh>
    <rPh sb="6" eb="8">
      <t>ソクシン</t>
    </rPh>
    <rPh sb="8" eb="10">
      <t>テアテ</t>
    </rPh>
    <phoneticPr fontId="3"/>
  </si>
  <si>
    <t>１ヵ月基本給与＋促進手当加算</t>
    <rPh sb="12" eb="14">
      <t>カサン</t>
    </rPh>
    <phoneticPr fontId="3"/>
  </si>
  <si>
    <t>社会保険適用促進手当適用</t>
    <rPh sb="10" eb="12">
      <t>テキヨウ</t>
    </rPh>
    <phoneticPr fontId="3"/>
  </si>
  <si>
    <t>週所定労働時間（39H上限設定）</t>
    <rPh sb="0" eb="1">
      <t>シュウ</t>
    </rPh>
    <rPh sb="1" eb="7">
      <t>ショテイロウドウジカン</t>
    </rPh>
    <rPh sb="11" eb="13">
      <t>ジョウゲン</t>
    </rPh>
    <rPh sb="13" eb="15">
      <t>セッテイ</t>
    </rPh>
    <phoneticPr fontId="3"/>
  </si>
  <si>
    <t>5１人未満以上の会社</t>
    <rPh sb="2" eb="3">
      <t>ニン</t>
    </rPh>
    <rPh sb="3" eb="5">
      <t>ミマン</t>
    </rPh>
    <rPh sb="5" eb="7">
      <t>イジョウ</t>
    </rPh>
    <rPh sb="8" eb="10">
      <t>カイシャ</t>
    </rPh>
    <phoneticPr fontId="3"/>
  </si>
  <si>
    <t>週所定労働時間</t>
    <phoneticPr fontId="3"/>
  </si>
  <si>
    <r>
      <t xml:space="preserve">■所定労働時間週2０時間＆
１ヵ月の基本給月収８.８万円以上
　⇒ </t>
    </r>
    <r>
      <rPr>
        <b/>
        <sz val="10"/>
        <color rgb="FF0000FF"/>
        <rFont val="ＭＳ Ｐゴシック"/>
        <family val="3"/>
        <charset val="128"/>
      </rPr>
      <t>会社の社会保険に加入！</t>
    </r>
    <rPh sb="14" eb="17">
      <t>イッカゲツ</t>
    </rPh>
    <rPh sb="18" eb="21">
      <t>キホンキュウ</t>
    </rPh>
    <rPh sb="21" eb="23">
      <t>ゲッシュウ</t>
    </rPh>
    <rPh sb="26" eb="28">
      <t>マンエン</t>
    </rPh>
    <rPh sb="28" eb="30">
      <t>イジョウ</t>
    </rPh>
    <rPh sb="42" eb="44">
      <t>カニュウ</t>
    </rPh>
    <phoneticPr fontId="3"/>
  </si>
  <si>
    <t>賃金の増額率</t>
    <rPh sb="0" eb="2">
      <t>チンギン</t>
    </rPh>
    <rPh sb="3" eb="6">
      <t>ゾウガクリツ</t>
    </rPh>
    <phoneticPr fontId="3"/>
  </si>
  <si>
    <t>増額後の時間給</t>
    <rPh sb="0" eb="3">
      <t>ゾウガクゴ</t>
    </rPh>
    <rPh sb="4" eb="7">
      <t>ジカンキュウ</t>
    </rPh>
    <phoneticPr fontId="3"/>
  </si>
  <si>
    <t>3-1手当等支給メニュー</t>
    <rPh sb="3" eb="5">
      <t>テアテ</t>
    </rPh>
    <rPh sb="5" eb="6">
      <t>トウ</t>
    </rPh>
    <rPh sb="6" eb="8">
      <t>シキュウ</t>
    </rPh>
    <phoneticPr fontId="3"/>
  </si>
  <si>
    <t>4-1労働時間延長メニュー</t>
    <rPh sb="3" eb="9">
      <t>ロウドウジカンエンチョウ</t>
    </rPh>
    <phoneticPr fontId="3"/>
  </si>
  <si>
    <t>5-1併用メニュー</t>
    <rPh sb="3" eb="5">
      <t>ヘイヨウ</t>
    </rPh>
    <phoneticPr fontId="3"/>
  </si>
  <si>
    <t>手当等支給メニュー</t>
    <rPh sb="0" eb="5">
      <t>テアテトウシキュウ</t>
    </rPh>
    <phoneticPr fontId="3"/>
  </si>
  <si>
    <t>労働時間延長メニュー</t>
    <rPh sb="0" eb="6">
      <t>ロウドウジカンエンチョウ</t>
    </rPh>
    <phoneticPr fontId="3"/>
  </si>
  <si>
    <t>併用メニュー</t>
    <rPh sb="0" eb="2">
      <t>ヘイヨウ</t>
    </rPh>
    <phoneticPr fontId="3"/>
  </si>
  <si>
    <t>★ 昇給後の時間給で年収＆手取り年収をシミュレーション
★ 被扶養130万円以上で国保・国保加入
★ 所定労働時間３０時間以上で会社の社会保険に加入</t>
    <rPh sb="2" eb="4">
      <t>ショウキュウ</t>
    </rPh>
    <rPh sb="4" eb="5">
      <t>ゴ</t>
    </rPh>
    <rPh sb="6" eb="9">
      <t>ジカンキュウ</t>
    </rPh>
    <rPh sb="30" eb="33">
      <t>ヒフヨウ</t>
    </rPh>
    <rPh sb="36" eb="38">
      <t>マンエン</t>
    </rPh>
    <rPh sb="38" eb="40">
      <t>イジョウ</t>
    </rPh>
    <rPh sb="41" eb="43">
      <t>コクホ</t>
    </rPh>
    <rPh sb="44" eb="46">
      <t>コクホ</t>
    </rPh>
    <rPh sb="46" eb="48">
      <t>カニュウ</t>
    </rPh>
    <rPh sb="51" eb="57">
      <t>ショテイロウドウジカン</t>
    </rPh>
    <rPh sb="59" eb="61">
      <t>ジカン</t>
    </rPh>
    <rPh sb="61" eb="63">
      <t>イジョウ</t>
    </rPh>
    <rPh sb="64" eb="66">
      <t>カイシャ</t>
    </rPh>
    <rPh sb="67" eb="71">
      <t>シャカイホケン</t>
    </rPh>
    <rPh sb="72" eb="74">
      <t>カニュウ</t>
    </rPh>
    <phoneticPr fontId="3"/>
  </si>
  <si>
    <t>★ 社会保険適用拡大後の事業所の社会保険加入後の年収＆手取り年収をシミュレーション
★ 社会保険促進手当支給メニューでシミュレーション</t>
    <rPh sb="4" eb="6">
      <t>シャカイ</t>
    </rPh>
    <rPh sb="6" eb="8">
      <t>ホケン</t>
    </rPh>
    <rPh sb="8" eb="10">
      <t>テキヨウ</t>
    </rPh>
    <rPh sb="10" eb="12">
      <t>カクダイ</t>
    </rPh>
    <rPh sb="12" eb="13">
      <t>ゴ</t>
    </rPh>
    <rPh sb="14" eb="17">
      <t>ジギョウショ</t>
    </rPh>
    <rPh sb="18" eb="20">
      <t>シャカイ</t>
    </rPh>
    <rPh sb="20" eb="22">
      <t>ホケン</t>
    </rPh>
    <rPh sb="22" eb="24">
      <t>カニュウ</t>
    </rPh>
    <rPh sb="24" eb="25">
      <t>ゴ</t>
    </rPh>
    <rPh sb="26" eb="28">
      <t>ネンシュウ</t>
    </rPh>
    <rPh sb="29" eb="31">
      <t>テド</t>
    </rPh>
    <rPh sb="32" eb="34">
      <t>ネンシュウ</t>
    </rPh>
    <phoneticPr fontId="3"/>
  </si>
  <si>
    <t>★ 社会保険適用拡大後の事業所の社会保険加入後の年収＆手取り年収をシミュレーション
★ １年目は社会保険適用促進手当支給した後、２年目は時間延長と時間給増でシミュレーション</t>
    <rPh sb="45" eb="47">
      <t>ネンメ</t>
    </rPh>
    <rPh sb="48" eb="52">
      <t>シャカイホケン</t>
    </rPh>
    <rPh sb="52" eb="58">
      <t>テキヨウソクシンテアテ</t>
    </rPh>
    <rPh sb="58" eb="60">
      <t>シキュウ</t>
    </rPh>
    <rPh sb="62" eb="63">
      <t>ノチ</t>
    </rPh>
    <rPh sb="65" eb="67">
      <t>ネンメ</t>
    </rPh>
    <rPh sb="68" eb="72">
      <t>ジカンエンチョウ</t>
    </rPh>
    <rPh sb="73" eb="76">
      <t>ジカンキュウ</t>
    </rPh>
    <rPh sb="76" eb="77">
      <t>ゾウ</t>
    </rPh>
    <phoneticPr fontId="3"/>
  </si>
  <si>
    <t>適用拡大の未適用</t>
    <rPh sb="0" eb="4">
      <t>テキヨウカクダイ</t>
    </rPh>
    <rPh sb="5" eb="8">
      <t>ミテキヨウ</t>
    </rPh>
    <phoneticPr fontId="3"/>
  </si>
  <si>
    <t>適用拡大の適用</t>
    <rPh sb="0" eb="4">
      <t>テキヨウカクダイ</t>
    </rPh>
    <rPh sb="5" eb="7">
      <t>テキヨウ</t>
    </rPh>
    <phoneticPr fontId="3"/>
  </si>
  <si>
    <t>★選択 「２」は、原則として扶養内、ただし年収130万円以上で扶養を外れ国保・国年に加入となる。
★週所定労働時間30時間以上で、勤務先の社会保険に加入します。</t>
    <rPh sb="50" eb="57">
      <t>シュウショテイロウドウジカン</t>
    </rPh>
    <rPh sb="59" eb="61">
      <t>ジカン</t>
    </rPh>
    <rPh sb="61" eb="63">
      <t>イジョウ</t>
    </rPh>
    <phoneticPr fontId="3"/>
  </si>
  <si>
    <t>社会保険適用促進手当率
手入力で変更可</t>
    <rPh sb="0" eb="10">
      <t>シャカイホケンテキヨウソクシンテアテ</t>
    </rPh>
    <rPh sb="10" eb="11">
      <t>リツ</t>
    </rPh>
    <rPh sb="12" eb="15">
      <t>テニュウリョク</t>
    </rPh>
    <rPh sb="16" eb="19">
      <t>ヘンコウカ</t>
    </rPh>
    <phoneticPr fontId="3"/>
  </si>
  <si>
    <r>
      <t xml:space="preserve">社会保険適用促進手当率
</t>
    </r>
    <r>
      <rPr>
        <b/>
        <u/>
        <sz val="12"/>
        <color rgb="FF000000"/>
        <rFont val="ＭＳ Ｐゴシック"/>
        <family val="3"/>
        <charset val="128"/>
      </rPr>
      <t>手入力で変更可</t>
    </r>
    <rPh sb="0" eb="10">
      <t>シャカイホケンテキヨウソクシンテアテ</t>
    </rPh>
    <rPh sb="10" eb="11">
      <t>リツ</t>
    </rPh>
    <rPh sb="12" eb="15">
      <t>テニュウリョク</t>
    </rPh>
    <rPh sb="16" eb="19">
      <t>ヘンコウカ</t>
    </rPh>
    <phoneticPr fontId="3"/>
  </si>
  <si>
    <t>キャリアアップ助成金（社会保険適用時処遇改善コース）活用シミュレーション</t>
    <phoneticPr fontId="3"/>
  </si>
  <si>
    <t>★ 「１」は、年収106万円（月収8.8万円）以上・週所定労働時間２０時間以上で勤務先の社会保険に加入にします。
★ 週所定労働時間２０時間未満は扶養内となる。
 　ただし年収130万円以上だと扶養を外れ国保・国年に加入となる。</t>
    <phoneticPr fontId="3"/>
  </si>
  <si>
    <t>※ ５０人以下の会社
（当面は社会保険適用拡大が未適用）</t>
    <rPh sb="4" eb="5">
      <t>ニン</t>
    </rPh>
    <rPh sb="5" eb="7">
      <t>イカ</t>
    </rPh>
    <rPh sb="8" eb="10">
      <t>カイシャ</t>
    </rPh>
    <rPh sb="12" eb="14">
      <t>トウメン</t>
    </rPh>
    <phoneticPr fontId="3"/>
  </si>
  <si>
    <t>※ ５１人以上１００人以下の会社（2024.10.1からの社会保険適用拡大が決まっている）</t>
    <rPh sb="4" eb="5">
      <t>ニン</t>
    </rPh>
    <rPh sb="5" eb="7">
      <t>イジョウ</t>
    </rPh>
    <rPh sb="10" eb="11">
      <t>ニン</t>
    </rPh>
    <rPh sb="11" eb="13">
      <t>イカ</t>
    </rPh>
    <rPh sb="14" eb="16">
      <t>カイシャ</t>
    </rPh>
    <rPh sb="38" eb="39">
      <t>キ</t>
    </rPh>
    <phoneticPr fontId="3"/>
  </si>
  <si>
    <t>※ １０１人以上の会社
（既に社会保険適用拡大が
適用されている）</t>
    <rPh sb="5" eb="6">
      <t>ニン</t>
    </rPh>
    <rPh sb="6" eb="8">
      <t>イジョウ</t>
    </rPh>
    <rPh sb="9" eb="11">
      <t>カイシャ</t>
    </rPh>
    <rPh sb="13" eb="14">
      <t>スデ</t>
    </rPh>
    <phoneticPr fontId="3"/>
  </si>
  <si>
    <t>★ ２ヵ月以上の雇用が見込まれる者</t>
    <rPh sb="4" eb="5">
      <t>ゲツ</t>
    </rPh>
    <rPh sb="16" eb="17">
      <t>モノ</t>
    </rPh>
    <phoneticPr fontId="3"/>
  </si>
  <si>
    <t>★ 賃金の月額が88,000円以上である者（いわゆる１０６万円の壁）</t>
    <rPh sb="20" eb="21">
      <t>モノ</t>
    </rPh>
    <rPh sb="29" eb="30">
      <t>マン</t>
    </rPh>
    <rPh sb="30" eb="31">
      <t>エン</t>
    </rPh>
    <rPh sb="32" eb="33">
      <t>カベ</t>
    </rPh>
    <phoneticPr fontId="3"/>
  </si>
  <si>
    <t>★ 学生でない者</t>
    <rPh sb="7" eb="8">
      <t>モノ</t>
    </rPh>
    <phoneticPr fontId="3"/>
  </si>
  <si>
    <t>標準報酬月額</t>
    <rPh sb="0" eb="6">
      <t>ヒョウジュンホウシュウゲツガク</t>
    </rPh>
    <phoneticPr fontId="3"/>
  </si>
  <si>
    <t>　従業員のみなさま、毎日のお仕事、お疲れさまです。
　さて標記の件、国の社会保険の適用拡大により、社会保険の加入基準が見直されます。
　そこで、加入基準の変更に併せて週所定労働時間を増やし、収入を増やすプランをご提案します。
　将来の年金にも増額して反映されます。　ご検討をお勧めします！　</t>
    <rPh sb="34" eb="35">
      <t>クニ</t>
    </rPh>
    <rPh sb="59" eb="61">
      <t>ミナオ</t>
    </rPh>
    <rPh sb="72" eb="76">
      <t>カニュウキジュン</t>
    </rPh>
    <rPh sb="77" eb="79">
      <t>ヘンコウ</t>
    </rPh>
    <rPh sb="80" eb="81">
      <t>アワ</t>
    </rPh>
    <phoneticPr fontId="3"/>
  </si>
  <si>
    <t>ＡＡ</t>
    <phoneticPr fontId="3"/>
  </si>
  <si>
    <t>ＡＢ</t>
    <phoneticPr fontId="3"/>
  </si>
  <si>
    <t>ＡＣ</t>
    <phoneticPr fontId="3"/>
  </si>
  <si>
    <t>ＡＤ</t>
    <phoneticPr fontId="3"/>
  </si>
  <si>
    <t>ＡＥ</t>
    <phoneticPr fontId="3"/>
  </si>
  <si>
    <t>延長労働時間</t>
    <rPh sb="0" eb="2">
      <t>エンチョウ</t>
    </rPh>
    <rPh sb="2" eb="6">
      <t>ロウドウジカン</t>
    </rPh>
    <phoneticPr fontId="3"/>
  </si>
  <si>
    <r>
      <t>社保料等
合計×12</t>
    </r>
    <r>
      <rPr>
        <b/>
        <sz val="12"/>
        <color theme="1"/>
        <rFont val="ＭＳ Ｐゴシック"/>
        <family val="3"/>
        <charset val="128"/>
      </rPr>
      <t>（年間）</t>
    </r>
    <rPh sb="0" eb="1">
      <t>シャ</t>
    </rPh>
    <rPh sb="1" eb="2">
      <t>タモツ</t>
    </rPh>
    <rPh sb="2" eb="3">
      <t>リョウ</t>
    </rPh>
    <rPh sb="3" eb="4">
      <t>ナド</t>
    </rPh>
    <rPh sb="5" eb="7">
      <t>ゴウケイ</t>
    </rPh>
    <rPh sb="11" eb="13">
      <t>ネンカン</t>
    </rPh>
    <phoneticPr fontId="3"/>
  </si>
  <si>
    <t>給与額／基本時間給</t>
    <rPh sb="0" eb="2">
      <t>キュウヨ</t>
    </rPh>
    <rPh sb="2" eb="3">
      <t>ガク</t>
    </rPh>
    <rPh sb="4" eb="6">
      <t>キホン</t>
    </rPh>
    <rPh sb="6" eb="9">
      <t>ジカンキュウ</t>
    </rPh>
    <phoneticPr fontId="3"/>
  </si>
  <si>
    <t>４-１．手当等支給メニュー</t>
    <rPh sb="4" eb="9">
      <t>テアテトウシキュウ</t>
    </rPh>
    <phoneticPr fontId="3"/>
  </si>
  <si>
    <t>【社会保険促進手当の算出と手取り年収のシミュレーション】</t>
    <rPh sb="1" eb="7">
      <t>シャカイホケンソクシン</t>
    </rPh>
    <rPh sb="7" eb="9">
      <t>テアテ</t>
    </rPh>
    <rPh sb="10" eb="12">
      <t>サンシュツ</t>
    </rPh>
    <rPh sb="13" eb="15">
      <t>テド</t>
    </rPh>
    <rPh sb="16" eb="18">
      <t>ネンシュウ</t>
    </rPh>
    <phoneticPr fontId="3"/>
  </si>
  <si>
    <t>４-２．手当等支給メニュー　お知らせ！</t>
    <rPh sb="4" eb="9">
      <t>テアテトウシキュウ</t>
    </rPh>
    <rPh sb="15" eb="16">
      <t>シ</t>
    </rPh>
    <phoneticPr fontId="3"/>
  </si>
  <si>
    <t>４-３．手当等支給メニュー　（３年目or２年目）</t>
    <rPh sb="4" eb="9">
      <t>テアテトウシキュウ</t>
    </rPh>
    <rPh sb="16" eb="23">
      <t>ネンメオr2ネンメ</t>
    </rPh>
    <phoneticPr fontId="3"/>
  </si>
  <si>
    <t>４-４．手当等支給メニュー　お知らせ（３年目or２年目）</t>
    <rPh sb="4" eb="9">
      <t>テアテトウシキュウ</t>
    </rPh>
    <rPh sb="15" eb="16">
      <t>シ</t>
    </rPh>
    <rPh sb="20" eb="27">
      <t>ネンメオr2ネンメ</t>
    </rPh>
    <phoneticPr fontId="3"/>
  </si>
  <si>
    <t>4-０．設定</t>
    <rPh sb="4" eb="6">
      <t>セッテイ</t>
    </rPh>
    <phoneticPr fontId="3"/>
  </si>
  <si>
    <t>３-２．所得算出参照表</t>
    <rPh sb="4" eb="6">
      <t>ショトク</t>
    </rPh>
    <rPh sb="6" eb="8">
      <t>サンシュツ</t>
    </rPh>
    <rPh sb="8" eb="10">
      <t>サンショウ</t>
    </rPh>
    <rPh sb="10" eb="11">
      <t>ヒョウ</t>
    </rPh>
    <phoneticPr fontId="3"/>
  </si>
  <si>
    <t>４１．参照シート１</t>
    <rPh sb="3" eb="5">
      <t>サンショウ</t>
    </rPh>
    <phoneticPr fontId="3"/>
  </si>
  <si>
    <t>４２．参照シート２</t>
    <rPh sb="3" eb="5">
      <t>サンショウ</t>
    </rPh>
    <phoneticPr fontId="3"/>
  </si>
  <si>
    <t>５．使用上の注意</t>
    <rPh sb="2" eb="5">
      <t>シヨウジョウ</t>
    </rPh>
    <rPh sb="6" eb="8">
      <t>チュウイ</t>
    </rPh>
    <phoneticPr fontId="3"/>
  </si>
  <si>
    <t>３-１．標準報酬月額・保険料表</t>
    <rPh sb="4" eb="6">
      <t>ヒョウジュン</t>
    </rPh>
    <rPh sb="6" eb="8">
      <t>ホウシュウ</t>
    </rPh>
    <rPh sb="8" eb="9">
      <t>ツキ</t>
    </rPh>
    <rPh sb="9" eb="10">
      <t>ガク</t>
    </rPh>
    <rPh sb="11" eb="14">
      <t>ホケンリョウ</t>
    </rPh>
    <rPh sb="14" eb="15">
      <t>ヒョウ</t>
    </rPh>
    <phoneticPr fontId="3"/>
  </si>
  <si>
    <t>右図：厚生労働省ホームページ資料より抜粋</t>
    <rPh sb="0" eb="1">
      <t>ミギ</t>
    </rPh>
    <rPh sb="1" eb="2">
      <t>ズ</t>
    </rPh>
    <rPh sb="3" eb="8">
      <t>コウセイロウドウショウ</t>
    </rPh>
    <rPh sb="14" eb="16">
      <t>シリョウ</t>
    </rPh>
    <rPh sb="18" eb="20">
      <t>バッスイ</t>
    </rPh>
    <phoneticPr fontId="3"/>
  </si>
  <si>
    <t>★ 社会保険適用拡大後の事業所の社会保険加入後の年収＆手取り年収をシミュレーション
★ 労働時間延長メニューでシミュレーション</t>
    <rPh sb="4" eb="6">
      <t>シャカイ</t>
    </rPh>
    <rPh sb="6" eb="8">
      <t>ホケン</t>
    </rPh>
    <rPh sb="8" eb="10">
      <t>テキヨウ</t>
    </rPh>
    <rPh sb="10" eb="12">
      <t>カクダイ</t>
    </rPh>
    <rPh sb="12" eb="13">
      <t>ゴ</t>
    </rPh>
    <rPh sb="14" eb="17">
      <t>ジギョウショ</t>
    </rPh>
    <rPh sb="18" eb="20">
      <t>シャカイ</t>
    </rPh>
    <rPh sb="20" eb="22">
      <t>ホケン</t>
    </rPh>
    <rPh sb="22" eb="24">
      <t>カニュウ</t>
    </rPh>
    <rPh sb="24" eb="25">
      <t>ゴ</t>
    </rPh>
    <rPh sb="26" eb="28">
      <t>ネンシュウ</t>
    </rPh>
    <rPh sb="29" eb="31">
      <t>テド</t>
    </rPh>
    <rPh sb="32" eb="34">
      <t>ネンシュウ</t>
    </rPh>
    <rPh sb="44" eb="50">
      <t>ロウドウジカンエンチョウ</t>
    </rPh>
    <phoneticPr fontId="3"/>
  </si>
  <si>
    <t>　　必ずお読みください！</t>
    <rPh sb="2" eb="3">
      <t>カナラ</t>
    </rPh>
    <rPh sb="5" eb="6">
      <t>ヨ</t>
    </rPh>
    <phoneticPr fontId="3"/>
  </si>
  <si>
    <t>　　循環参照回避のためのシードです！</t>
    <rPh sb="2" eb="6">
      <t>ジュンカンサンショウ</t>
    </rPh>
    <rPh sb="6" eb="8">
      <t>カイヒ</t>
    </rPh>
    <phoneticPr fontId="3"/>
  </si>
  <si>
    <t>４．法改正に注意下さい</t>
    <rPh sb="2" eb="5">
      <t>ホウカイセイ</t>
    </rPh>
    <rPh sb="6" eb="8">
      <t>チュウイ</t>
    </rPh>
    <rPh sb="8" eb="9">
      <t>クダ</t>
    </rPh>
    <phoneticPr fontId="3"/>
  </si>
  <si>
    <t>ことをお勧め致します。</t>
    <rPh sb="4" eb="5">
      <t>スス</t>
    </rPh>
    <rPh sb="6" eb="7">
      <t>イタ</t>
    </rPh>
    <phoneticPr fontId="3"/>
  </si>
  <si>
    <t>　助成金の申請に際しては、申請内容が適正であることを、窓口にてご確認される</t>
    <rPh sb="1" eb="4">
      <t>ジョセイキン</t>
    </rPh>
    <rPh sb="5" eb="7">
      <t>シンセイ</t>
    </rPh>
    <rPh sb="8" eb="9">
      <t>サイ</t>
    </rPh>
    <rPh sb="13" eb="17">
      <t>シンセイナイヨウ</t>
    </rPh>
    <rPh sb="18" eb="20">
      <t>テキセイ</t>
    </rPh>
    <rPh sb="27" eb="29">
      <t>マドグチ</t>
    </rPh>
    <rPh sb="32" eb="34">
      <t>カクニン</t>
    </rPh>
    <phoneticPr fontId="3"/>
  </si>
  <si>
    <t>■ 会社に適用される保険料を入力してください！</t>
    <rPh sb="2" eb="4">
      <t>カイシャ</t>
    </rPh>
    <rPh sb="5" eb="7">
      <t>テキヨウ</t>
    </rPh>
    <rPh sb="10" eb="13">
      <t>ホケンリョウ</t>
    </rPh>
    <rPh sb="14" eb="16">
      <t>ニュウリョク</t>
    </rPh>
    <phoneticPr fontId="3"/>
  </si>
  <si>
    <t>社会保険適用促進手当の支給および労働時間の延長のご提案とお知らせ！</t>
    <rPh sb="0" eb="2">
      <t>シャカイ</t>
    </rPh>
    <rPh sb="2" eb="4">
      <t>ホケン</t>
    </rPh>
    <rPh sb="4" eb="6">
      <t>テキヨウ</t>
    </rPh>
    <rPh sb="6" eb="8">
      <t>ソクシン</t>
    </rPh>
    <rPh sb="8" eb="10">
      <t>テアテ</t>
    </rPh>
    <rPh sb="11" eb="13">
      <t>シキュウ</t>
    </rPh>
    <rPh sb="16" eb="18">
      <t>ロウドウ</t>
    </rPh>
    <rPh sb="18" eb="20">
      <t>ジカン</t>
    </rPh>
    <rPh sb="21" eb="23">
      <t>エンチョウ</t>
    </rPh>
    <rPh sb="25" eb="27">
      <t>テイアン</t>
    </rPh>
    <rPh sb="29" eb="30">
      <t>シ</t>
    </rPh>
    <phoneticPr fontId="3"/>
  </si>
  <si>
    <t>労働時間延長と時間給の改訂のご提案（労働時間見直しのご提案資料！）</t>
    <rPh sb="0" eb="4">
      <t>ロウドウジカン</t>
    </rPh>
    <rPh sb="4" eb="6">
      <t>エンチョウ</t>
    </rPh>
    <rPh sb="7" eb="10">
      <t>ジカンキュウ</t>
    </rPh>
    <rPh sb="11" eb="13">
      <t>カイテイ</t>
    </rPh>
    <rPh sb="15" eb="17">
      <t>テイアン</t>
    </rPh>
    <phoneticPr fontId="3"/>
  </si>
  <si>
    <t>　　【社会保険適用促進手当の支給および労働時間の延長のご提案とお知らせ】　提案資料</t>
    <rPh sb="3" eb="5">
      <t>シャカイ</t>
    </rPh>
    <rPh sb="5" eb="7">
      <t>ホケン</t>
    </rPh>
    <rPh sb="7" eb="9">
      <t>テキヨウ</t>
    </rPh>
    <rPh sb="9" eb="11">
      <t>ソクシン</t>
    </rPh>
    <rPh sb="11" eb="13">
      <t>テアテ</t>
    </rPh>
    <rPh sb="14" eb="16">
      <t>シキュウ</t>
    </rPh>
    <rPh sb="19" eb="23">
      <t>ロウドウジカン</t>
    </rPh>
    <rPh sb="24" eb="26">
      <t>エンチョウ</t>
    </rPh>
    <rPh sb="28" eb="30">
      <t>テイアン</t>
    </rPh>
    <rPh sb="32" eb="33">
      <t>シ</t>
    </rPh>
    <rPh sb="37" eb="41">
      <t>テイアンシリョウ</t>
    </rPh>
    <phoneticPr fontId="3"/>
  </si>
  <si>
    <t>　　　【労働時間の延長と時間給改訂のご提案】　提案資料</t>
    <rPh sb="4" eb="8">
      <t>ロウドウジカン</t>
    </rPh>
    <rPh sb="9" eb="11">
      <t>エンチョウ</t>
    </rPh>
    <rPh sb="12" eb="17">
      <t>ジカンキュウカイテイ</t>
    </rPh>
    <rPh sb="19" eb="21">
      <t>テイアン</t>
    </rPh>
    <phoneticPr fontId="3"/>
  </si>
  <si>
    <t>（注）「新契約でご提案する給与の詳細です！」の指標は、適宜個別に移動してご提案して下さい！</t>
    <rPh sb="1" eb="2">
      <t>チュウ</t>
    </rPh>
    <rPh sb="4" eb="7">
      <t>シンケイヤク</t>
    </rPh>
    <rPh sb="9" eb="11">
      <t>テイアン</t>
    </rPh>
    <rPh sb="13" eb="15">
      <t>キュウヨ</t>
    </rPh>
    <rPh sb="16" eb="18">
      <t>ショウサイ</t>
    </rPh>
    <rPh sb="23" eb="25">
      <t>シヒョウ</t>
    </rPh>
    <phoneticPr fontId="3"/>
  </si>
  <si>
    <t>３．国民健康保険料</t>
    <rPh sb="2" eb="9">
      <t>コクミンケンコウホケンリョウ</t>
    </rPh>
    <phoneticPr fontId="3"/>
  </si>
  <si>
    <t>４．国民年金保険料</t>
    <rPh sb="2" eb="4">
      <t>コクミン</t>
    </rPh>
    <rPh sb="4" eb="6">
      <t>ネンキン</t>
    </rPh>
    <rPh sb="6" eb="9">
      <t>ホケンリョウ</t>
    </rPh>
    <phoneticPr fontId="3"/>
  </si>
  <si>
    <t>※ 手当等支給メニューでは使用しません！</t>
    <rPh sb="2" eb="7">
      <t>テアテトウシキュウ</t>
    </rPh>
    <rPh sb="13" eb="15">
      <t>シヨウ</t>
    </rPh>
    <phoneticPr fontId="3"/>
  </si>
  <si>
    <t>（</t>
    <phoneticPr fontId="3"/>
  </si>
  <si>
    <r>
      <t>　　</t>
    </r>
    <r>
      <rPr>
        <b/>
        <sz val="12"/>
        <color rgb="FF0000FF"/>
        <rFont val="ＭＳ Ｐゴシック"/>
        <family val="3"/>
        <charset val="128"/>
      </rPr>
      <t>時間給、、昇給案、諸手当等、</t>
    </r>
    <r>
      <rPr>
        <b/>
        <sz val="12"/>
        <color theme="1"/>
        <rFont val="ＭＳ Ｐゴシック"/>
        <family val="3"/>
        <charset val="128"/>
      </rPr>
      <t>社員データを入力します（必須）。</t>
    </r>
    <rPh sb="2" eb="5">
      <t>ジカンキュウ</t>
    </rPh>
    <rPh sb="7" eb="10">
      <t>ショウキュウアン</t>
    </rPh>
    <rPh sb="11" eb="14">
      <t>ショテアテ</t>
    </rPh>
    <rPh sb="14" eb="15">
      <t>トウ</t>
    </rPh>
    <rPh sb="28" eb="30">
      <t>ヒッス</t>
    </rPh>
    <phoneticPr fontId="3"/>
  </si>
  <si>
    <r>
      <rPr>
        <b/>
        <sz val="14"/>
        <color rgb="FF0000CC"/>
        <rFont val="ＭＳ Ｐゴシック"/>
        <family val="3"/>
        <charset val="128"/>
      </rPr>
      <t>　　右図：</t>
    </r>
    <r>
      <rPr>
        <b/>
        <u/>
        <sz val="14"/>
        <color rgb="FF0000CC"/>
        <rFont val="ＭＳ Ｐゴシック"/>
        <family val="3"/>
        <charset val="128"/>
      </rPr>
      <t>【短時間労働者に対する健康保険 ・厚生年金保険の適用拡大</t>
    </r>
    <rPh sb="2" eb="4">
      <t>ミギズ</t>
    </rPh>
    <rPh sb="6" eb="7">
      <t>タン</t>
    </rPh>
    <rPh sb="7" eb="9">
      <t>ジカン</t>
    </rPh>
    <rPh sb="9" eb="12">
      <t>ロウドウシャ</t>
    </rPh>
    <rPh sb="13" eb="14">
      <t>タイ</t>
    </rPh>
    <rPh sb="16" eb="18">
      <t>ケンコウ</t>
    </rPh>
    <rPh sb="18" eb="20">
      <t>ホケン</t>
    </rPh>
    <rPh sb="22" eb="24">
      <t>コウセイ</t>
    </rPh>
    <rPh sb="24" eb="26">
      <t>ネンキン</t>
    </rPh>
    <rPh sb="26" eb="28">
      <t>ホケン</t>
    </rPh>
    <rPh sb="29" eb="31">
      <t>テキヨウ</t>
    </rPh>
    <rPh sb="31" eb="33">
      <t>カクダイ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</si>
</sst>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
    <numFmt numFmtId="177" formatCode="0.000%"/>
    <numFmt numFmtId="178" formatCode="#,##0_ "/>
    <numFmt numFmtId="179" formatCode="0.0_);[Red]\(0.0\)"/>
    <numFmt numFmtId="180" formatCode="[$-411]ggge&quot;年&quot;m&quot;月&quot;d&quot;日&quot;;@"/>
    <numFmt numFmtId="181" formatCode="[$-411]gee\.mm\.dd;@"/>
    <numFmt numFmtId="182" formatCode="#,##0.0;[Red]\-#,##0.0"/>
    <numFmt numFmtId="183" formatCode="[$-411]gee\.mm\.dd"/>
    <numFmt numFmtId="184" formatCode="#,##0&quot;円&quot;"/>
    <numFmt numFmtId="185" formatCode="0.000_ "/>
    <numFmt numFmtId="186" formatCode="0.0000"/>
    <numFmt numFmtId="187" formatCode="0_ "/>
  </numFmts>
  <fonts count="133" x14ac:knownFonts="1">
    <font>
      <sz val="11"/>
      <name val="ＭＳ Ｐゴシック"/>
      <family val="3"/>
      <charset val="128"/>
    </font>
    <font>
      <sz val="11"/>
      <name val="ＭＳ Ｐゴシック"/>
      <family val="3"/>
      <charset val="128"/>
    </font>
    <font>
      <sz val="11"/>
      <name val="ＭＳ Ｐゴシック"/>
      <family val="3"/>
      <charset val="128"/>
    </font>
    <font>
      <sz val="6"/>
      <name val="ＭＳ Ｐゴシック"/>
      <family val="3"/>
      <charset val="128"/>
    </font>
    <font>
      <b/>
      <sz val="16"/>
      <name val="ＭＳ Ｐゴシック"/>
      <family val="3"/>
      <charset val="128"/>
    </font>
    <font>
      <b/>
      <sz val="11"/>
      <name val="ＭＳ Ｐゴシック"/>
      <family val="3"/>
      <charset val="128"/>
    </font>
    <font>
      <sz val="9"/>
      <name val="ＭＳ Ｐゴシック"/>
      <family val="3"/>
      <charset val="128"/>
    </font>
    <font>
      <sz val="11"/>
      <name val="ＭＳ ゴシック"/>
      <family val="3"/>
      <charset val="128"/>
    </font>
    <font>
      <sz val="10"/>
      <name val="ＭＳ Ｐゴシック"/>
      <family val="3"/>
      <charset val="128"/>
    </font>
    <font>
      <u/>
      <sz val="12"/>
      <name val="ＭＳ Ｐゴシック"/>
      <family val="3"/>
      <charset val="128"/>
    </font>
    <font>
      <sz val="11"/>
      <color indexed="8"/>
      <name val="ＭＳ Ｐゴシック"/>
      <family val="3"/>
      <charset val="128"/>
    </font>
    <font>
      <b/>
      <sz val="11"/>
      <color indexed="12"/>
      <name val="ＭＳ Ｐゴシック"/>
      <family val="3"/>
      <charset val="128"/>
    </font>
    <font>
      <b/>
      <sz val="11"/>
      <color indexed="8"/>
      <name val="ＭＳ Ｐゴシック"/>
      <family val="3"/>
      <charset val="128"/>
    </font>
    <font>
      <sz val="12"/>
      <color indexed="8"/>
      <name val="ＭＳ Ｐゴシック"/>
      <family val="3"/>
      <charset val="128"/>
    </font>
    <font>
      <sz val="12"/>
      <name val="ＭＳ Ｐゴシック"/>
      <family val="3"/>
      <charset val="128"/>
    </font>
    <font>
      <u/>
      <sz val="11"/>
      <name val="ＭＳ Ｐゴシック"/>
      <family val="3"/>
      <charset val="128"/>
    </font>
    <font>
      <b/>
      <u/>
      <sz val="12"/>
      <name val="ＭＳ Ｐゴシック"/>
      <family val="3"/>
      <charset val="128"/>
    </font>
    <font>
      <b/>
      <u/>
      <sz val="12"/>
      <color indexed="10"/>
      <name val="ＭＳ Ｐゴシック"/>
      <family val="3"/>
      <charset val="128"/>
    </font>
    <font>
      <b/>
      <sz val="12"/>
      <color rgb="FF0000CC"/>
      <name val="ＭＳ Ｐゴシック"/>
      <family val="3"/>
      <charset val="128"/>
    </font>
    <font>
      <sz val="11"/>
      <color theme="1"/>
      <name val="ＭＳ Ｐゴシック"/>
      <family val="3"/>
      <charset val="128"/>
    </font>
    <font>
      <b/>
      <sz val="12"/>
      <color theme="1"/>
      <name val="ＭＳ Ｐゴシック"/>
      <family val="3"/>
      <charset val="128"/>
    </font>
    <font>
      <sz val="10"/>
      <color theme="1"/>
      <name val="ＭＳ Ｐゴシック"/>
      <family val="3"/>
      <charset val="128"/>
    </font>
    <font>
      <b/>
      <u/>
      <sz val="12"/>
      <color rgb="FF0000CC"/>
      <name val="ＭＳ Ｐゴシック"/>
      <family val="3"/>
      <charset val="128"/>
    </font>
    <font>
      <b/>
      <sz val="12"/>
      <color indexed="8"/>
      <name val="ＭＳ Ｐゴシック"/>
      <family val="3"/>
      <charset val="128"/>
    </font>
    <font>
      <b/>
      <sz val="12"/>
      <name val="ＭＳ Ｐゴシック"/>
      <family val="3"/>
      <charset val="128"/>
    </font>
    <font>
      <b/>
      <sz val="14"/>
      <color rgb="FF0000CC"/>
      <name val="ＭＳ Ｐゴシック"/>
      <family val="3"/>
      <charset val="128"/>
    </font>
    <font>
      <b/>
      <sz val="16"/>
      <color rgb="FF0000CC"/>
      <name val="ＭＳ Ｐゴシック"/>
      <family val="3"/>
      <charset val="128"/>
    </font>
    <font>
      <b/>
      <sz val="11"/>
      <color rgb="FFFF0000"/>
      <name val="Arial"/>
      <family val="2"/>
    </font>
    <font>
      <b/>
      <sz val="11"/>
      <color theme="1"/>
      <name val="ＭＳ Ｐゴシック"/>
      <family val="3"/>
      <charset val="128"/>
    </font>
    <font>
      <b/>
      <u/>
      <sz val="11"/>
      <color theme="1"/>
      <name val="ＭＳ Ｐゴシック"/>
      <family val="3"/>
      <charset val="128"/>
    </font>
    <font>
      <u/>
      <sz val="11"/>
      <color theme="10"/>
      <name val="ＭＳ Ｐゴシック"/>
      <family val="3"/>
      <charset val="128"/>
    </font>
    <font>
      <sz val="14"/>
      <name val="ＭＳ ゴシック"/>
      <family val="3"/>
      <charset val="128"/>
    </font>
    <font>
      <b/>
      <sz val="11"/>
      <name val="ＭＳ ゴシック"/>
      <family val="3"/>
      <charset val="128"/>
    </font>
    <font>
      <b/>
      <sz val="12"/>
      <color indexed="12"/>
      <name val="ＭＳ ゴシック"/>
      <family val="3"/>
      <charset val="128"/>
    </font>
    <font>
      <b/>
      <sz val="11"/>
      <color indexed="12"/>
      <name val="ＭＳ ゴシック"/>
      <family val="3"/>
      <charset val="128"/>
    </font>
    <font>
      <b/>
      <u/>
      <sz val="11"/>
      <color rgb="FFFF0000"/>
      <name val="ＭＳ Ｐゴシック"/>
      <family val="3"/>
      <charset val="128"/>
    </font>
    <font>
      <b/>
      <u/>
      <sz val="11"/>
      <color rgb="FFFF0000"/>
      <name val="ＭＳ ゴシック"/>
      <family val="3"/>
      <charset val="128"/>
    </font>
    <font>
      <b/>
      <sz val="14"/>
      <color theme="1"/>
      <name val="ＭＳ Ｐゴシック"/>
      <family val="3"/>
      <charset val="128"/>
    </font>
    <font>
      <b/>
      <sz val="14"/>
      <color indexed="8"/>
      <name val="ＭＳ Ｐゴシック"/>
      <family val="3"/>
      <charset val="128"/>
    </font>
    <font>
      <b/>
      <u/>
      <sz val="14"/>
      <color rgb="FFFF0000"/>
      <name val="ＭＳ Ｐゴシック"/>
      <family val="3"/>
      <charset val="128"/>
    </font>
    <font>
      <b/>
      <u/>
      <sz val="11"/>
      <name val="ＭＳ Ｐゴシック"/>
      <family val="3"/>
      <charset val="128"/>
    </font>
    <font>
      <b/>
      <u/>
      <sz val="14"/>
      <color rgb="FF0000CC"/>
      <name val="ＭＳ Ｐゴシック"/>
      <family val="3"/>
      <charset val="128"/>
    </font>
    <font>
      <b/>
      <sz val="14"/>
      <name val="ＭＳ Ｐゴシック"/>
      <family val="3"/>
      <charset val="128"/>
    </font>
    <font>
      <b/>
      <u/>
      <sz val="10"/>
      <name val="ＭＳ Ｐゴシック"/>
      <family val="3"/>
      <charset val="128"/>
    </font>
    <font>
      <u/>
      <sz val="18"/>
      <color rgb="FF0000CC"/>
      <name val="ＭＳ Ｐゴシック"/>
      <family val="3"/>
      <charset val="128"/>
    </font>
    <font>
      <sz val="12"/>
      <color theme="1"/>
      <name val="ＭＳ Ｐゴシック"/>
      <family val="3"/>
      <charset val="128"/>
    </font>
    <font>
      <b/>
      <sz val="16"/>
      <color theme="1"/>
      <name val="ＭＳ Ｐゴシック"/>
      <family val="3"/>
      <charset val="128"/>
    </font>
    <font>
      <sz val="14"/>
      <name val="ＭＳ Ｐゴシック"/>
      <family val="3"/>
      <charset val="128"/>
    </font>
    <font>
      <sz val="16"/>
      <name val="ＭＳ Ｐゴシック"/>
      <family val="3"/>
      <charset val="128"/>
    </font>
    <font>
      <b/>
      <u/>
      <sz val="14"/>
      <name val="ＭＳ Ｐゴシック"/>
      <family val="3"/>
      <charset val="128"/>
    </font>
    <font>
      <b/>
      <u/>
      <sz val="14"/>
      <color theme="10"/>
      <name val="ＭＳ Ｐゴシック"/>
      <family val="3"/>
      <charset val="128"/>
    </font>
    <font>
      <sz val="18"/>
      <name val="ＭＳ Ｐゴシック"/>
      <family val="3"/>
      <charset val="128"/>
    </font>
    <font>
      <sz val="18"/>
      <color rgb="FF0000CC"/>
      <name val="ＭＳ Ｐゴシック"/>
      <family val="3"/>
      <charset val="128"/>
    </font>
    <font>
      <b/>
      <sz val="16"/>
      <color indexed="12"/>
      <name val="ＭＳ Ｐゴシック"/>
      <family val="3"/>
      <charset val="128"/>
    </font>
    <font>
      <b/>
      <u/>
      <sz val="14"/>
      <color theme="1"/>
      <name val="ＭＳ Ｐゴシック"/>
      <family val="3"/>
      <charset val="128"/>
    </font>
    <font>
      <b/>
      <u/>
      <sz val="24"/>
      <color indexed="12"/>
      <name val="ＭＳ Ｐゴシック"/>
      <family val="3"/>
      <charset val="128"/>
    </font>
    <font>
      <u/>
      <sz val="18"/>
      <color theme="1"/>
      <name val="ＭＳ Ｐゴシック"/>
      <family val="3"/>
      <charset val="128"/>
    </font>
    <font>
      <b/>
      <sz val="12"/>
      <color rgb="FF0000FF"/>
      <name val="ＭＳ Ｐゴシック"/>
      <family val="3"/>
      <charset val="128"/>
    </font>
    <font>
      <b/>
      <sz val="16"/>
      <color rgb="FF0000FF"/>
      <name val="ＭＳ Ｐゴシック"/>
      <family val="3"/>
      <charset val="128"/>
    </font>
    <font>
      <b/>
      <sz val="14"/>
      <color theme="1"/>
      <name val="HGｺﾞｼｯｸE"/>
      <family val="3"/>
      <charset val="128"/>
    </font>
    <font>
      <b/>
      <sz val="14"/>
      <color rgb="FF0000FF"/>
      <name val="ＭＳ Ｐゴシック"/>
      <family val="3"/>
      <charset val="128"/>
    </font>
    <font>
      <sz val="12"/>
      <color theme="1"/>
      <name val="HGｺﾞｼｯｸE"/>
      <family val="3"/>
      <charset val="128"/>
    </font>
    <font>
      <b/>
      <u/>
      <sz val="14"/>
      <color indexed="12"/>
      <name val="ＭＳ Ｐゴシック"/>
      <family val="3"/>
      <charset val="128"/>
    </font>
    <font>
      <b/>
      <sz val="10"/>
      <color indexed="12"/>
      <name val="ＭＳ ゴシック"/>
      <family val="3"/>
      <charset val="128"/>
    </font>
    <font>
      <b/>
      <sz val="10"/>
      <name val="ＭＳ ゴシック"/>
      <family val="3"/>
      <charset val="128"/>
    </font>
    <font>
      <b/>
      <u/>
      <sz val="18"/>
      <color rgb="FF0000CC"/>
      <name val="ＭＳ ゴシック"/>
      <family val="3"/>
      <charset val="128"/>
    </font>
    <font>
      <b/>
      <u/>
      <sz val="11"/>
      <name val="ＭＳ ゴシック"/>
      <family val="3"/>
      <charset val="128"/>
    </font>
    <font>
      <b/>
      <u/>
      <sz val="12"/>
      <name val="ＭＳ ゴシック"/>
      <family val="3"/>
      <charset val="128"/>
    </font>
    <font>
      <b/>
      <sz val="11"/>
      <color indexed="10"/>
      <name val="ＭＳ ゴシック"/>
      <family val="3"/>
      <charset val="128"/>
    </font>
    <font>
      <b/>
      <sz val="11"/>
      <color theme="1"/>
      <name val="ＭＳ ゴシック"/>
      <family val="3"/>
      <charset val="128"/>
    </font>
    <font>
      <b/>
      <sz val="12"/>
      <name val="ＭＳ ゴシック"/>
      <family val="3"/>
      <charset val="128"/>
    </font>
    <font>
      <sz val="9"/>
      <color theme="0" tint="-0.34998626667073579"/>
      <name val="ＭＳ ゴシック"/>
      <family val="3"/>
      <charset val="128"/>
    </font>
    <font>
      <b/>
      <u/>
      <sz val="12"/>
      <color rgb="FF0000CC"/>
      <name val="ＭＳ ゴシック"/>
      <family val="3"/>
      <charset val="128"/>
    </font>
    <font>
      <b/>
      <sz val="18"/>
      <color rgb="FFFF0000"/>
      <name val="ＭＳ ゴシック"/>
      <family val="3"/>
      <charset val="128"/>
    </font>
    <font>
      <b/>
      <sz val="12"/>
      <color rgb="FFFF0000"/>
      <name val="ＭＳ ゴシック"/>
      <family val="3"/>
      <charset val="128"/>
    </font>
    <font>
      <b/>
      <sz val="11"/>
      <color rgb="FFFF0000"/>
      <name val="ＭＳ ゴシック"/>
      <family val="3"/>
      <charset val="128"/>
    </font>
    <font>
      <u/>
      <sz val="12"/>
      <color rgb="FFFF0000"/>
      <name val="ＭＳ Ｐゴシック"/>
      <family val="3"/>
      <charset val="128"/>
    </font>
    <font>
      <b/>
      <u/>
      <sz val="11"/>
      <color rgb="FF0000FF"/>
      <name val="ＭＳ Ｐゴシック"/>
      <family val="3"/>
      <charset val="128"/>
    </font>
    <font>
      <b/>
      <sz val="12"/>
      <color rgb="FF0000FF"/>
      <name val="ＭＳ ゴシック"/>
      <family val="3"/>
      <charset val="128"/>
    </font>
    <font>
      <b/>
      <u/>
      <sz val="11"/>
      <color rgb="FF0000FF"/>
      <name val="ＭＳ ゴシック"/>
      <family val="3"/>
      <charset val="128"/>
    </font>
    <font>
      <b/>
      <u/>
      <sz val="12"/>
      <color rgb="FFFF0000"/>
      <name val="ＭＳ Ｐゴシック"/>
      <family val="3"/>
      <charset val="128"/>
    </font>
    <font>
      <b/>
      <u/>
      <sz val="16"/>
      <color theme="1"/>
      <name val="ＭＳ Ｐゴシック"/>
      <family val="3"/>
      <charset val="128"/>
      <scheme val="minor"/>
    </font>
    <font>
      <sz val="6"/>
      <name val="ＭＳ Ｐゴシック"/>
      <family val="2"/>
      <charset val="128"/>
      <scheme val="minor"/>
    </font>
    <font>
      <b/>
      <u/>
      <sz val="14"/>
      <color rgb="FF0000CC"/>
      <name val="ＭＳ Ｐゴシック"/>
      <family val="3"/>
      <charset val="128"/>
      <scheme val="minor"/>
    </font>
    <font>
      <b/>
      <sz val="11"/>
      <color theme="1"/>
      <name val="ＭＳ Ｐゴシック"/>
      <family val="3"/>
      <charset val="128"/>
      <scheme val="minor"/>
    </font>
    <font>
      <b/>
      <sz val="11"/>
      <color rgb="FFFF0000"/>
      <name val="ＭＳ Ｐゴシック"/>
      <family val="3"/>
      <charset val="128"/>
      <scheme val="minor"/>
    </font>
    <font>
      <u/>
      <sz val="16"/>
      <name val="ＭＳ Ｐゴシック"/>
      <family val="3"/>
      <charset val="128"/>
    </font>
    <font>
      <b/>
      <u/>
      <sz val="14"/>
      <color theme="0"/>
      <name val="ＭＳ Ｐゴシック"/>
      <family val="3"/>
      <charset val="128"/>
    </font>
    <font>
      <b/>
      <u/>
      <sz val="20"/>
      <color rgb="FF0000CC"/>
      <name val="ＭＳ Ｐゴシック"/>
      <family val="3"/>
      <charset val="128"/>
    </font>
    <font>
      <b/>
      <u/>
      <sz val="10"/>
      <color theme="1"/>
      <name val="ＭＳ Ｐゴシック"/>
      <family val="3"/>
      <charset val="128"/>
    </font>
    <font>
      <b/>
      <sz val="12"/>
      <color theme="0"/>
      <name val="ＭＳ Ｐゴシック"/>
      <family val="3"/>
      <charset val="128"/>
    </font>
    <font>
      <sz val="11"/>
      <color theme="0"/>
      <name val="ＭＳ Ｐゴシック"/>
      <family val="3"/>
      <charset val="128"/>
    </font>
    <font>
      <b/>
      <sz val="11"/>
      <color rgb="FF0000FF"/>
      <name val="ＭＳ Ｐゴシック"/>
      <family val="3"/>
      <charset val="128"/>
      <scheme val="minor"/>
    </font>
    <font>
      <u/>
      <sz val="14"/>
      <color rgb="FF0000CC"/>
      <name val="ＭＳ Ｐゴシック"/>
      <family val="3"/>
      <charset val="128"/>
    </font>
    <font>
      <b/>
      <u/>
      <sz val="10"/>
      <color rgb="FFFF0000"/>
      <name val="ＭＳ Ｐゴシック"/>
      <family val="3"/>
      <charset val="128"/>
    </font>
    <font>
      <b/>
      <sz val="12"/>
      <color rgb="FFFF0000"/>
      <name val="ＭＳ Ｐゴシック"/>
      <family val="3"/>
      <charset val="128"/>
    </font>
    <font>
      <b/>
      <u/>
      <sz val="12"/>
      <color rgb="FF0000FF"/>
      <name val="ＭＳ Ｐゴシック"/>
      <family val="3"/>
      <charset val="128"/>
    </font>
    <font>
      <sz val="12"/>
      <color theme="0" tint="-0.249977111117893"/>
      <name val="ＭＳ Ｐゴシック"/>
      <family val="3"/>
      <charset val="128"/>
    </font>
    <font>
      <sz val="11"/>
      <color theme="0" tint="-0.249977111117893"/>
      <name val="ＭＳ Ｐゴシック"/>
      <family val="3"/>
      <charset val="128"/>
    </font>
    <font>
      <b/>
      <sz val="12"/>
      <color theme="0" tint="-0.249977111117893"/>
      <name val="ＭＳ Ｐゴシック"/>
      <family val="3"/>
      <charset val="128"/>
    </font>
    <font>
      <b/>
      <sz val="11"/>
      <color theme="0" tint="-0.249977111117893"/>
      <name val="ＭＳ Ｐゴシック"/>
      <family val="3"/>
      <charset val="128"/>
    </font>
    <font>
      <b/>
      <u/>
      <sz val="14"/>
      <color rgb="FF0000FF"/>
      <name val="ＭＳ Ｐゴシック"/>
      <family val="3"/>
      <charset val="128"/>
    </font>
    <font>
      <b/>
      <sz val="10"/>
      <color theme="0" tint="-0.249977111117893"/>
      <name val="ＭＳ Ｐゴシック"/>
      <family val="3"/>
      <charset val="128"/>
    </font>
    <font>
      <b/>
      <sz val="14"/>
      <color theme="0" tint="-0.249977111117893"/>
      <name val="ＭＳ Ｐゴシック"/>
      <family val="3"/>
      <charset val="128"/>
    </font>
    <font>
      <b/>
      <sz val="11"/>
      <color rgb="FF0000FF"/>
      <name val="ＭＳ ゴシック"/>
      <family val="3"/>
      <charset val="128"/>
    </font>
    <font>
      <sz val="11"/>
      <color rgb="FF0000CC"/>
      <name val="ＭＳ Ｐゴシック"/>
      <family val="3"/>
      <charset val="128"/>
    </font>
    <font>
      <b/>
      <u/>
      <sz val="12"/>
      <color rgb="FFBCBCBC"/>
      <name val="ＭＳ Ｐゴシック"/>
      <family val="3"/>
      <charset val="128"/>
    </font>
    <font>
      <b/>
      <sz val="11"/>
      <color rgb="FFBCBCBC"/>
      <name val="ＭＳ Ｐゴシック"/>
      <family val="3"/>
      <charset val="128"/>
    </font>
    <font>
      <b/>
      <u/>
      <sz val="16"/>
      <color theme="1"/>
      <name val="ＭＳ Ｐゴシック"/>
      <family val="3"/>
      <charset val="128"/>
    </font>
    <font>
      <b/>
      <sz val="10"/>
      <name val="ＭＳ Ｐゴシック"/>
      <family val="3"/>
      <charset val="128"/>
    </font>
    <font>
      <b/>
      <sz val="10"/>
      <color rgb="FF0000FF"/>
      <name val="ＭＳ Ｐゴシック"/>
      <family val="3"/>
      <charset val="128"/>
    </font>
    <font>
      <sz val="12"/>
      <color rgb="FF9B9B9B"/>
      <name val="ＭＳ Ｐゴシック"/>
      <family val="3"/>
      <charset val="128"/>
    </font>
    <font>
      <b/>
      <sz val="11"/>
      <color theme="0"/>
      <name val="ＭＳ Ｐゴシック"/>
      <family val="3"/>
      <charset val="128"/>
    </font>
    <font>
      <b/>
      <sz val="18"/>
      <color theme="1"/>
      <name val="ＭＳ Ｐゴシック"/>
      <family val="3"/>
      <charset val="128"/>
    </font>
    <font>
      <b/>
      <u/>
      <sz val="12"/>
      <color rgb="FF000000"/>
      <name val="ＭＳ Ｐゴシック"/>
      <family val="3"/>
      <charset val="128"/>
    </font>
    <font>
      <sz val="9"/>
      <color theme="0" tint="-0.34998626667073579"/>
      <name val="ＭＳ Ｐゴシック"/>
      <family val="3"/>
      <charset val="128"/>
    </font>
    <font>
      <sz val="12"/>
      <color theme="0" tint="-0.34998626667073579"/>
      <name val="ＭＳ Ｐゴシック"/>
      <family val="3"/>
      <charset val="128"/>
    </font>
    <font>
      <u/>
      <sz val="18"/>
      <color theme="0" tint="-0.34998626667073579"/>
      <name val="ＭＳ Ｐゴシック"/>
      <family val="3"/>
      <charset val="128"/>
    </font>
    <font>
      <b/>
      <sz val="16"/>
      <color theme="0" tint="-0.34998626667073579"/>
      <name val="ＭＳ Ｐゴシック"/>
      <family val="3"/>
      <charset val="128"/>
    </font>
    <font>
      <b/>
      <sz val="18"/>
      <color theme="0" tint="-0.34998626667073579"/>
      <name val="ＭＳ Ｐゴシック"/>
      <family val="3"/>
      <charset val="128"/>
    </font>
    <font>
      <b/>
      <u/>
      <sz val="12"/>
      <color theme="0" tint="-0.34998626667073579"/>
      <name val="ＭＳ Ｐゴシック"/>
      <family val="3"/>
      <charset val="128"/>
    </font>
    <font>
      <b/>
      <sz val="12"/>
      <color theme="0" tint="-0.34998626667073579"/>
      <name val="ＭＳ Ｐゴシック"/>
      <family val="3"/>
      <charset val="128"/>
    </font>
    <font>
      <b/>
      <u/>
      <sz val="11"/>
      <color theme="0" tint="-0.34998626667073579"/>
      <name val="ＭＳ Ｐゴシック"/>
      <family val="3"/>
      <charset val="128"/>
    </font>
    <font>
      <b/>
      <sz val="11"/>
      <color theme="0" tint="-0.34998626667073579"/>
      <name val="ＭＳ ゴシック"/>
      <family val="3"/>
      <charset val="128"/>
    </font>
    <font>
      <b/>
      <sz val="14"/>
      <color theme="0" tint="-0.34998626667073579"/>
      <name val="ＭＳ Ｐゴシック"/>
      <family val="3"/>
      <charset val="128"/>
    </font>
    <font>
      <b/>
      <sz val="11"/>
      <color theme="0" tint="-0.34998626667073579"/>
      <name val="ＭＳ Ｐゴシック"/>
      <family val="3"/>
      <charset val="128"/>
    </font>
    <font>
      <b/>
      <u/>
      <sz val="14"/>
      <color theme="0" tint="-0.34998626667073579"/>
      <name val="ＭＳ Ｐゴシック"/>
      <family val="3"/>
      <charset val="128"/>
    </font>
    <font>
      <sz val="11"/>
      <color theme="0" tint="-0.34998626667073579"/>
      <name val="ＭＳ Ｐゴシック"/>
      <family val="3"/>
      <charset val="128"/>
    </font>
    <font>
      <b/>
      <u/>
      <sz val="10"/>
      <color theme="0" tint="-0.34998626667073579"/>
      <name val="ＭＳ Ｐゴシック"/>
      <family val="3"/>
      <charset val="128"/>
    </font>
    <font>
      <b/>
      <sz val="16"/>
      <color rgb="FF3333FF"/>
      <name val="ＭＳ Ｐゴシック"/>
      <family val="3"/>
      <charset val="128"/>
    </font>
    <font>
      <u/>
      <sz val="20"/>
      <color theme="10"/>
      <name val="ＭＳ Ｐゴシック"/>
      <family val="3"/>
      <charset val="128"/>
    </font>
    <font>
      <b/>
      <u/>
      <sz val="14"/>
      <color rgb="FF3333FF"/>
      <name val="ＭＳ Ｐゴシック"/>
      <family val="3"/>
      <charset val="128"/>
    </font>
    <font>
      <b/>
      <u/>
      <sz val="16"/>
      <color rgb="FF0000FF"/>
      <name val="ＭＳ Ｐゴシック"/>
      <family val="3"/>
      <charset val="128"/>
    </font>
  </fonts>
  <fills count="33">
    <fill>
      <patternFill patternType="none"/>
    </fill>
    <fill>
      <patternFill patternType="gray125"/>
    </fill>
    <fill>
      <patternFill patternType="solid">
        <fgColor indexed="31"/>
        <bgColor indexed="64"/>
      </patternFill>
    </fill>
    <fill>
      <patternFill patternType="solid">
        <fgColor indexed="15"/>
        <bgColor indexed="64"/>
      </patternFill>
    </fill>
    <fill>
      <patternFill patternType="solid">
        <fgColor indexed="13"/>
        <bgColor indexed="64"/>
      </patternFill>
    </fill>
    <fill>
      <patternFill patternType="solid">
        <fgColor indexed="43"/>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0000"/>
        <bgColor indexed="64"/>
      </patternFill>
    </fill>
    <fill>
      <patternFill patternType="solid">
        <fgColor theme="9" tint="0.39997558519241921"/>
        <bgColor indexed="64"/>
      </patternFill>
    </fill>
    <fill>
      <patternFill patternType="solid">
        <fgColor rgb="FFFFFFCC"/>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rgb="FFEFECF4"/>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0000CC"/>
        <bgColor indexed="64"/>
      </patternFill>
    </fill>
    <fill>
      <patternFill patternType="solid">
        <fgColor rgb="FF0000FF"/>
        <bgColor indexed="64"/>
      </patternFill>
    </fill>
    <fill>
      <patternFill patternType="solid">
        <fgColor rgb="FFCCFFFF"/>
        <bgColor indexed="64"/>
      </patternFill>
    </fill>
    <fill>
      <patternFill patternType="solid">
        <fgColor rgb="FF3333FF"/>
        <bgColor indexed="64"/>
      </patternFill>
    </fill>
    <fill>
      <patternFill patternType="solid">
        <fgColor rgb="FFFEF6F0"/>
        <bgColor indexed="64"/>
      </patternFill>
    </fill>
    <fill>
      <patternFill patternType="solid">
        <fgColor rgb="FFFFFFCD"/>
        <bgColor indexed="64"/>
      </patternFill>
    </fill>
    <fill>
      <patternFill patternType="solid">
        <fgColor rgb="FFF5F8EE"/>
        <bgColor indexed="64"/>
      </patternFill>
    </fill>
    <fill>
      <patternFill patternType="solid">
        <fgColor rgb="FFFF6600"/>
        <bgColor indexed="64"/>
      </patternFill>
    </fill>
    <fill>
      <patternFill patternType="solid">
        <fgColor rgb="FF00FFFF"/>
        <bgColor indexed="64"/>
      </patternFill>
    </fill>
    <fill>
      <patternFill patternType="solid">
        <fgColor theme="0" tint="-0.34998626667073579"/>
        <bgColor indexed="64"/>
      </patternFill>
    </fill>
  </fills>
  <borders count="105">
    <border>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thin">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diagonal/>
    </border>
    <border>
      <left style="medium">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thick">
        <color indexed="64"/>
      </left>
      <right/>
      <top/>
      <bottom/>
      <diagonal/>
    </border>
    <border>
      <left style="medium">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thin">
        <color indexed="64"/>
      </right>
      <top/>
      <bottom style="hair">
        <color indexed="64"/>
      </bottom>
      <diagonal/>
    </border>
    <border>
      <left style="medium">
        <color indexed="64"/>
      </left>
      <right/>
      <top/>
      <bottom style="thin">
        <color indexed="64"/>
      </bottom>
      <diagonal/>
    </border>
    <border>
      <left style="thick">
        <color rgb="FF0000FF"/>
      </left>
      <right style="thick">
        <color rgb="FF0000FF"/>
      </right>
      <top style="thick">
        <color rgb="FF0000FF"/>
      </top>
      <bottom/>
      <diagonal/>
    </border>
    <border>
      <left style="thick">
        <color rgb="FF0000FF"/>
      </left>
      <right style="thick">
        <color rgb="FF0000FF"/>
      </right>
      <top/>
      <bottom/>
      <diagonal/>
    </border>
    <border>
      <left style="thick">
        <color rgb="FF0000FF"/>
      </left>
      <right style="thick">
        <color rgb="FF0000FF"/>
      </right>
      <top/>
      <bottom style="thick">
        <color rgb="FF0000FF"/>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diagonal/>
    </border>
    <border>
      <left/>
      <right/>
      <top/>
      <bottom style="hair">
        <color indexed="64"/>
      </bottom>
      <diagonal/>
    </border>
    <border>
      <left/>
      <right style="thin">
        <color indexed="64"/>
      </right>
      <top/>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s>
  <cellStyleXfs count="5">
    <xf numFmtId="0" fontId="0"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0" fontId="30" fillId="0" borderId="0" applyNumberFormat="0" applyFill="0" applyBorder="0" applyAlignment="0" applyProtection="0">
      <alignment vertical="center"/>
    </xf>
    <xf numFmtId="37" fontId="31" fillId="0" borderId="0"/>
  </cellStyleXfs>
  <cellXfs count="1122">
    <xf numFmtId="0" fontId="0" fillId="0" borderId="0" xfId="0">
      <alignment vertical="center"/>
    </xf>
    <xf numFmtId="0" fontId="4" fillId="0" borderId="0" xfId="0" quotePrefix="1" applyFont="1" applyAlignment="1">
      <alignment horizontal="left"/>
    </xf>
    <xf numFmtId="178" fontId="0" fillId="0" borderId="3" xfId="0" applyNumberFormat="1" applyBorder="1">
      <alignment vertical="center"/>
    </xf>
    <xf numFmtId="0" fontId="6" fillId="0" borderId="4" xfId="0" applyFont="1" applyBorder="1" applyAlignment="1">
      <alignment horizontal="center" vertical="center"/>
    </xf>
    <xf numFmtId="178" fontId="0" fillId="0" borderId="4" xfId="0" applyNumberFormat="1" applyBorder="1">
      <alignment vertical="center"/>
    </xf>
    <xf numFmtId="0" fontId="6" fillId="0" borderId="5" xfId="0" applyFont="1" applyBorder="1" applyAlignment="1">
      <alignment horizontal="center" vertical="center"/>
    </xf>
    <xf numFmtId="179" fontId="6" fillId="0" borderId="0" xfId="0" applyNumberFormat="1" applyFont="1">
      <alignment vertical="center"/>
    </xf>
    <xf numFmtId="179" fontId="0" fillId="0" borderId="0" xfId="0" applyNumberFormat="1" applyAlignment="1">
      <alignment horizontal="right"/>
    </xf>
    <xf numFmtId="0" fontId="1" fillId="2" borderId="1" xfId="0" applyFont="1" applyFill="1" applyBorder="1" applyAlignment="1">
      <alignment horizontal="left"/>
    </xf>
    <xf numFmtId="0" fontId="1" fillId="2" borderId="2" xfId="0" applyFont="1" applyFill="1" applyBorder="1" applyAlignment="1">
      <alignment horizontal="center"/>
    </xf>
    <xf numFmtId="0" fontId="1" fillId="2" borderId="9" xfId="0" applyFont="1" applyFill="1" applyBorder="1" applyAlignment="1">
      <alignment horizontal="center"/>
    </xf>
    <xf numFmtId="0" fontId="1" fillId="2" borderId="10" xfId="0" applyFont="1" applyFill="1" applyBorder="1" applyAlignment="1">
      <alignment horizontal="center"/>
    </xf>
    <xf numFmtId="0" fontId="1" fillId="2" borderId="11" xfId="0" applyFont="1" applyFill="1" applyBorder="1" applyAlignment="1">
      <alignment horizontal="center"/>
    </xf>
    <xf numFmtId="0" fontId="1" fillId="2" borderId="12" xfId="0" applyFont="1" applyFill="1" applyBorder="1" applyAlignment="1">
      <alignment horizontal="center"/>
    </xf>
    <xf numFmtId="0" fontId="1" fillId="2" borderId="13" xfId="0" applyFont="1" applyFill="1" applyBorder="1" applyAlignment="1">
      <alignment horizontal="center"/>
    </xf>
    <xf numFmtId="0" fontId="0" fillId="0" borderId="0" xfId="0" applyAlignment="1">
      <alignment horizontal="center" vertical="center"/>
    </xf>
    <xf numFmtId="38" fontId="0" fillId="0" borderId="0" xfId="2" applyFont="1">
      <alignment vertical="center"/>
    </xf>
    <xf numFmtId="0" fontId="4" fillId="0" borderId="0" xfId="0" applyFont="1" applyAlignment="1">
      <alignment horizontal="left"/>
    </xf>
    <xf numFmtId="0" fontId="1" fillId="2" borderId="14" xfId="0" applyFont="1" applyFill="1" applyBorder="1" applyAlignment="1">
      <alignment horizontal="center" vertical="center"/>
    </xf>
    <xf numFmtId="38" fontId="5" fillId="0" borderId="0" xfId="2" applyFont="1" applyAlignment="1">
      <alignment horizontal="left" vertical="center"/>
    </xf>
    <xf numFmtId="0" fontId="2" fillId="0" borderId="0" xfId="0" applyFont="1" applyAlignment="1">
      <alignment horizontal="right"/>
    </xf>
    <xf numFmtId="38" fontId="0" fillId="0" borderId="0" xfId="2" applyFont="1" applyAlignment="1">
      <alignment horizontal="center" vertical="center"/>
    </xf>
    <xf numFmtId="38" fontId="0" fillId="0" borderId="0" xfId="2" applyFont="1" applyAlignment="1">
      <alignment vertical="center"/>
    </xf>
    <xf numFmtId="38" fontId="14" fillId="0" borderId="0" xfId="2" applyFont="1">
      <alignment vertical="center"/>
    </xf>
    <xf numFmtId="0" fontId="10" fillId="2" borderId="15" xfId="0" applyFont="1" applyFill="1" applyBorder="1" applyAlignment="1">
      <alignment horizontal="center" vertical="center"/>
    </xf>
    <xf numFmtId="0" fontId="10" fillId="2" borderId="16" xfId="0" applyFont="1" applyFill="1" applyBorder="1" applyAlignment="1">
      <alignment horizontal="center" vertical="center"/>
    </xf>
    <xf numFmtId="0" fontId="10" fillId="2" borderId="17" xfId="0" applyFont="1" applyFill="1" applyBorder="1" applyAlignment="1">
      <alignment horizontal="center" vertical="center"/>
    </xf>
    <xf numFmtId="0" fontId="12" fillId="2" borderId="6" xfId="0" applyFont="1" applyFill="1" applyBorder="1">
      <alignment vertical="center"/>
    </xf>
    <xf numFmtId="38" fontId="0" fillId="2" borderId="2" xfId="2" applyFont="1" applyFill="1" applyBorder="1" applyAlignment="1">
      <alignment vertical="center"/>
    </xf>
    <xf numFmtId="38" fontId="0" fillId="2" borderId="18" xfId="2" applyFont="1" applyFill="1" applyBorder="1" applyAlignment="1">
      <alignment vertical="center"/>
    </xf>
    <xf numFmtId="0" fontId="1" fillId="2" borderId="18" xfId="0" applyFont="1" applyFill="1" applyBorder="1" applyAlignment="1">
      <alignment horizontal="center"/>
    </xf>
    <xf numFmtId="38" fontId="0" fillId="2" borderId="17" xfId="2" applyFont="1" applyFill="1" applyBorder="1">
      <alignment vertical="center"/>
    </xf>
    <xf numFmtId="38" fontId="0" fillId="0" borderId="1" xfId="2" applyFont="1" applyBorder="1">
      <alignment vertical="center"/>
    </xf>
    <xf numFmtId="38" fontId="0" fillId="0" borderId="18" xfId="2" applyFont="1" applyBorder="1">
      <alignment vertical="center"/>
    </xf>
    <xf numFmtId="38" fontId="0" fillId="0" borderId="1" xfId="2" applyFont="1" applyFill="1" applyBorder="1">
      <alignment vertical="center"/>
    </xf>
    <xf numFmtId="38" fontId="0" fillId="0" borderId="18" xfId="2" applyFont="1" applyFill="1" applyBorder="1">
      <alignment vertical="center"/>
    </xf>
    <xf numFmtId="38" fontId="0" fillId="0" borderId="19" xfId="2" applyFont="1" applyBorder="1">
      <alignment vertical="center"/>
    </xf>
    <xf numFmtId="38" fontId="0" fillId="2" borderId="15" xfId="2" applyFont="1" applyFill="1" applyBorder="1" applyAlignment="1">
      <alignment horizontal="center" vertical="center"/>
    </xf>
    <xf numFmtId="0" fontId="14" fillId="0" borderId="0" xfId="0" applyFont="1" applyProtection="1">
      <alignment vertical="center"/>
      <protection hidden="1"/>
    </xf>
    <xf numFmtId="38" fontId="14" fillId="0" borderId="0" xfId="2" applyFont="1" applyFill="1" applyBorder="1" applyProtection="1">
      <alignment vertical="center"/>
      <protection hidden="1"/>
    </xf>
    <xf numFmtId="0" fontId="14" fillId="0" borderId="0" xfId="0" applyFont="1" applyAlignment="1" applyProtection="1">
      <alignment horizontal="center" vertical="center"/>
      <protection hidden="1"/>
    </xf>
    <xf numFmtId="38" fontId="14" fillId="0" borderId="0" xfId="2" applyFont="1" applyProtection="1">
      <alignment vertical="center"/>
      <protection hidden="1"/>
    </xf>
    <xf numFmtId="0" fontId="14" fillId="2" borderId="52" xfId="0" applyFont="1" applyFill="1" applyBorder="1" applyAlignment="1" applyProtection="1">
      <alignment horizontal="center" vertical="center"/>
      <protection hidden="1"/>
    </xf>
    <xf numFmtId="178" fontId="0" fillId="0" borderId="5" xfId="0" applyNumberFormat="1" applyBorder="1">
      <alignment vertical="center"/>
    </xf>
    <xf numFmtId="0" fontId="1" fillId="2" borderId="53" xfId="0" applyFont="1" applyFill="1" applyBorder="1" applyAlignment="1">
      <alignment horizontal="center"/>
    </xf>
    <xf numFmtId="0" fontId="0" fillId="0" borderId="35" xfId="0" applyBorder="1">
      <alignment vertical="center"/>
    </xf>
    <xf numFmtId="0" fontId="0" fillId="0" borderId="54" xfId="0" applyBorder="1">
      <alignment vertical="center"/>
    </xf>
    <xf numFmtId="0" fontId="33" fillId="0" borderId="57" xfId="0" applyFont="1" applyBorder="1" applyAlignment="1" applyProtection="1">
      <alignment horizontal="center" vertical="center"/>
      <protection locked="0"/>
    </xf>
    <xf numFmtId="0" fontId="5" fillId="0" borderId="0" xfId="0" applyFont="1">
      <alignment vertical="center"/>
    </xf>
    <xf numFmtId="0" fontId="24" fillId="0" borderId="0" xfId="0" applyFont="1" applyProtection="1">
      <alignment vertical="center"/>
      <protection hidden="1"/>
    </xf>
    <xf numFmtId="38" fontId="24" fillId="14" borderId="2" xfId="0" applyNumberFormat="1" applyFont="1" applyFill="1" applyBorder="1" applyProtection="1">
      <alignment vertical="center"/>
      <protection hidden="1"/>
    </xf>
    <xf numFmtId="38" fontId="14" fillId="0" borderId="0" xfId="2" applyFont="1" applyAlignment="1" applyProtection="1">
      <alignment horizontal="center" vertical="center"/>
      <protection hidden="1"/>
    </xf>
    <xf numFmtId="0" fontId="13" fillId="0" borderId="0" xfId="0" applyFont="1" applyAlignment="1" applyProtection="1">
      <alignment horizontal="center" vertical="center"/>
      <protection hidden="1"/>
    </xf>
    <xf numFmtId="181" fontId="13" fillId="0" borderId="0" xfId="0" applyNumberFormat="1" applyFont="1" applyAlignment="1" applyProtection="1">
      <alignment horizontal="center" vertical="center"/>
      <protection hidden="1"/>
    </xf>
    <xf numFmtId="38" fontId="37" fillId="6" borderId="2" xfId="2" applyFont="1" applyFill="1" applyBorder="1" applyProtection="1">
      <alignment vertical="center"/>
      <protection hidden="1"/>
    </xf>
    <xf numFmtId="0" fontId="24" fillId="7" borderId="2" xfId="0" applyFont="1" applyFill="1" applyBorder="1" applyAlignment="1" applyProtection="1">
      <alignment horizontal="center" vertical="center"/>
      <protection hidden="1"/>
    </xf>
    <xf numFmtId="38" fontId="5" fillId="7" borderId="2" xfId="2" applyFont="1" applyFill="1" applyBorder="1" applyAlignment="1" applyProtection="1">
      <alignment horizontal="center" vertical="center"/>
      <protection hidden="1"/>
    </xf>
    <xf numFmtId="0" fontId="38" fillId="6" borderId="2" xfId="0" applyFont="1" applyFill="1" applyBorder="1" applyAlignment="1" applyProtection="1">
      <alignment horizontal="center" vertical="center"/>
      <protection hidden="1"/>
    </xf>
    <xf numFmtId="0" fontId="5" fillId="7" borderId="2" xfId="0" applyFont="1" applyFill="1" applyBorder="1" applyAlignment="1" applyProtection="1">
      <alignment horizontal="center" vertical="center"/>
      <protection hidden="1"/>
    </xf>
    <xf numFmtId="0" fontId="24" fillId="0" borderId="0" xfId="0" applyFont="1" applyAlignment="1" applyProtection="1">
      <alignment horizontal="right" vertical="center"/>
      <protection hidden="1"/>
    </xf>
    <xf numFmtId="0" fontId="16" fillId="0" borderId="0" xfId="0" applyFont="1" applyProtection="1">
      <alignment vertical="center"/>
      <protection hidden="1"/>
    </xf>
    <xf numFmtId="38" fontId="24" fillId="14" borderId="62" xfId="0" applyNumberFormat="1" applyFont="1" applyFill="1" applyBorder="1" applyProtection="1">
      <alignment vertical="center"/>
      <protection hidden="1"/>
    </xf>
    <xf numFmtId="38" fontId="24" fillId="14" borderId="64" xfId="0" applyNumberFormat="1" applyFont="1" applyFill="1" applyBorder="1" applyProtection="1">
      <alignment vertical="center"/>
      <protection hidden="1"/>
    </xf>
    <xf numFmtId="38" fontId="24" fillId="14" borderId="47" xfId="0" applyNumberFormat="1" applyFont="1" applyFill="1" applyBorder="1" applyProtection="1">
      <alignment vertical="center"/>
      <protection hidden="1"/>
    </xf>
    <xf numFmtId="38" fontId="24" fillId="14" borderId="66" xfId="0" applyNumberFormat="1" applyFont="1" applyFill="1" applyBorder="1" applyProtection="1">
      <alignment vertical="center"/>
      <protection hidden="1"/>
    </xf>
    <xf numFmtId="0" fontId="5" fillId="2" borderId="35" xfId="0" applyFont="1" applyFill="1" applyBorder="1" applyAlignment="1" applyProtection="1">
      <alignment horizontal="center" vertical="center" wrapText="1"/>
      <protection hidden="1"/>
    </xf>
    <xf numFmtId="38" fontId="24" fillId="14" borderId="63" xfId="0" applyNumberFormat="1" applyFont="1" applyFill="1" applyBorder="1" applyProtection="1">
      <alignment vertical="center"/>
      <protection hidden="1"/>
    </xf>
    <xf numFmtId="38" fontId="24" fillId="14" borderId="26" xfId="0" applyNumberFormat="1" applyFont="1" applyFill="1" applyBorder="1" applyProtection="1">
      <alignment vertical="center"/>
      <protection hidden="1"/>
    </xf>
    <xf numFmtId="38" fontId="24" fillId="14" borderId="54" xfId="0" applyNumberFormat="1" applyFont="1" applyFill="1" applyBorder="1" applyProtection="1">
      <alignment vertical="center"/>
      <protection hidden="1"/>
    </xf>
    <xf numFmtId="38" fontId="24" fillId="14" borderId="36" xfId="0" applyNumberFormat="1" applyFont="1" applyFill="1" applyBorder="1" applyProtection="1">
      <alignment vertical="center"/>
      <protection hidden="1"/>
    </xf>
    <xf numFmtId="38" fontId="24" fillId="14" borderId="7" xfId="0" applyNumberFormat="1" applyFont="1" applyFill="1" applyBorder="1" applyProtection="1">
      <alignment vertical="center"/>
      <protection hidden="1"/>
    </xf>
    <xf numFmtId="38" fontId="24" fillId="8" borderId="62" xfId="0" applyNumberFormat="1" applyFont="1" applyFill="1" applyBorder="1" applyProtection="1">
      <alignment vertical="center"/>
      <protection hidden="1"/>
    </xf>
    <xf numFmtId="38" fontId="24" fillId="8" borderId="12" xfId="0" applyNumberFormat="1" applyFont="1" applyFill="1" applyBorder="1" applyProtection="1">
      <alignment vertical="center"/>
      <protection hidden="1"/>
    </xf>
    <xf numFmtId="38" fontId="24" fillId="8" borderId="51" xfId="0" applyNumberFormat="1" applyFont="1" applyFill="1" applyBorder="1" applyProtection="1">
      <alignment vertical="center"/>
      <protection hidden="1"/>
    </xf>
    <xf numFmtId="38" fontId="24" fillId="8" borderId="64" xfId="0" applyNumberFormat="1" applyFont="1" applyFill="1" applyBorder="1" applyProtection="1">
      <alignment vertical="center"/>
      <protection hidden="1"/>
    </xf>
    <xf numFmtId="38" fontId="24" fillId="8" borderId="40" xfId="0" applyNumberFormat="1" applyFont="1" applyFill="1" applyBorder="1" applyProtection="1">
      <alignment vertical="center"/>
      <protection hidden="1"/>
    </xf>
    <xf numFmtId="38" fontId="24" fillId="8" borderId="65" xfId="0" applyNumberFormat="1" applyFont="1" applyFill="1" applyBorder="1" applyProtection="1">
      <alignment vertical="center"/>
      <protection hidden="1"/>
    </xf>
    <xf numFmtId="0" fontId="5" fillId="10" borderId="15" xfId="0" applyFont="1" applyFill="1" applyBorder="1" applyAlignment="1" applyProtection="1">
      <alignment horizontal="center" vertical="center" wrapText="1"/>
      <protection hidden="1"/>
    </xf>
    <xf numFmtId="0" fontId="5" fillId="10" borderId="16" xfId="0" applyFont="1" applyFill="1" applyBorder="1" applyAlignment="1" applyProtection="1">
      <alignment horizontal="center" vertical="center" wrapText="1"/>
      <protection hidden="1"/>
    </xf>
    <xf numFmtId="0" fontId="5" fillId="10" borderId="17" xfId="0" applyFont="1" applyFill="1" applyBorder="1" applyAlignment="1" applyProtection="1">
      <alignment horizontal="center" vertical="center" wrapText="1"/>
      <protection hidden="1"/>
    </xf>
    <xf numFmtId="0" fontId="42" fillId="6" borderId="2" xfId="0" applyFont="1" applyFill="1" applyBorder="1" applyAlignment="1" applyProtection="1">
      <alignment horizontal="center" vertical="center"/>
      <protection hidden="1"/>
    </xf>
    <xf numFmtId="0" fontId="24" fillId="7" borderId="3" xfId="0" applyFont="1" applyFill="1" applyBorder="1" applyAlignment="1" applyProtection="1">
      <alignment horizontal="center" vertical="center"/>
      <protection hidden="1"/>
    </xf>
    <xf numFmtId="0" fontId="24" fillId="6" borderId="18" xfId="0" applyFont="1" applyFill="1" applyBorder="1" applyAlignment="1" applyProtection="1">
      <alignment horizontal="center" vertical="center"/>
      <protection hidden="1"/>
    </xf>
    <xf numFmtId="0" fontId="29" fillId="0" borderId="0" xfId="0" applyFont="1" applyAlignment="1" applyProtection="1">
      <alignment horizontal="left" vertical="center"/>
      <protection hidden="1"/>
    </xf>
    <xf numFmtId="38" fontId="37" fillId="6" borderId="27" xfId="0" applyNumberFormat="1" applyFont="1" applyFill="1" applyBorder="1" applyAlignment="1" applyProtection="1">
      <alignment horizontal="center" vertical="center"/>
      <protection hidden="1"/>
    </xf>
    <xf numFmtId="182" fontId="24" fillId="6" borderId="2" xfId="0" applyNumberFormat="1" applyFont="1" applyFill="1" applyBorder="1" applyProtection="1">
      <alignment vertical="center"/>
      <protection hidden="1"/>
    </xf>
    <xf numFmtId="0" fontId="5" fillId="2" borderId="47" xfId="0" applyFont="1" applyFill="1" applyBorder="1" applyAlignment="1" applyProtection="1">
      <alignment horizontal="center" vertical="center" wrapText="1"/>
      <protection hidden="1"/>
    </xf>
    <xf numFmtId="0" fontId="24" fillId="6" borderId="27" xfId="0" applyFont="1" applyFill="1" applyBorder="1" applyAlignment="1" applyProtection="1">
      <alignment horizontal="center" vertical="center"/>
      <protection hidden="1"/>
    </xf>
    <xf numFmtId="0" fontId="24" fillId="7" borderId="28" xfId="0" applyFont="1" applyFill="1" applyBorder="1" applyAlignment="1" applyProtection="1">
      <alignment horizontal="center" vertical="center"/>
      <protection hidden="1"/>
    </xf>
    <xf numFmtId="0" fontId="5" fillId="17" borderId="16" xfId="0" applyFont="1" applyFill="1" applyBorder="1" applyAlignment="1" applyProtection="1">
      <alignment horizontal="center" vertical="center" wrapText="1"/>
      <protection hidden="1"/>
    </xf>
    <xf numFmtId="0" fontId="5" fillId="17" borderId="34" xfId="0" applyFont="1" applyFill="1" applyBorder="1" applyAlignment="1" applyProtection="1">
      <alignment horizontal="center" vertical="center" wrapText="1"/>
      <protection hidden="1"/>
    </xf>
    <xf numFmtId="38" fontId="24" fillId="6" borderId="1" xfId="2" applyFont="1" applyFill="1" applyBorder="1" applyProtection="1">
      <alignment vertical="center"/>
      <protection hidden="1"/>
    </xf>
    <xf numFmtId="38" fontId="24" fillId="6" borderId="6" xfId="2" applyFont="1" applyFill="1" applyBorder="1" applyProtection="1">
      <alignment vertical="center"/>
      <protection hidden="1"/>
    </xf>
    <xf numFmtId="38" fontId="24" fillId="18" borderId="1" xfId="2" applyFont="1" applyFill="1" applyBorder="1" applyProtection="1">
      <alignment vertical="center"/>
      <protection hidden="1"/>
    </xf>
    <xf numFmtId="38" fontId="24" fillId="18" borderId="51" xfId="2" applyFont="1" applyFill="1" applyBorder="1" applyProtection="1">
      <alignment vertical="center"/>
      <protection hidden="1"/>
    </xf>
    <xf numFmtId="38" fontId="24" fillId="18" borderId="6" xfId="2" applyFont="1" applyFill="1" applyBorder="1" applyProtection="1">
      <alignment vertical="center"/>
      <protection hidden="1"/>
    </xf>
    <xf numFmtId="38" fontId="24" fillId="18" borderId="65" xfId="2" applyFont="1" applyFill="1" applyBorder="1" applyProtection="1">
      <alignment vertical="center"/>
      <protection hidden="1"/>
    </xf>
    <xf numFmtId="38" fontId="24" fillId="6" borderId="3" xfId="0" applyNumberFormat="1" applyFont="1" applyFill="1" applyBorder="1" applyProtection="1">
      <alignment vertical="center"/>
      <protection hidden="1"/>
    </xf>
    <xf numFmtId="38" fontId="24" fillId="6" borderId="51" xfId="0" applyNumberFormat="1" applyFont="1" applyFill="1" applyBorder="1" applyProtection="1">
      <alignment vertical="center"/>
      <protection hidden="1"/>
    </xf>
    <xf numFmtId="0" fontId="5" fillId="2" borderId="10" xfId="0" applyFont="1" applyFill="1" applyBorder="1" applyAlignment="1" applyProtection="1">
      <alignment horizontal="center" vertical="center"/>
      <protection hidden="1"/>
    </xf>
    <xf numFmtId="0" fontId="14" fillId="2" borderId="32" xfId="0" applyFont="1" applyFill="1" applyBorder="1" applyAlignment="1" applyProtection="1">
      <alignment horizontal="center" vertical="center"/>
      <protection hidden="1"/>
    </xf>
    <xf numFmtId="0" fontId="14" fillId="2" borderId="3" xfId="0" applyFont="1" applyFill="1" applyBorder="1" applyAlignment="1" applyProtection="1">
      <alignment horizontal="center" vertical="center"/>
      <protection hidden="1"/>
    </xf>
    <xf numFmtId="0" fontId="12" fillId="8" borderId="28" xfId="0" applyFont="1" applyFill="1" applyBorder="1" applyAlignment="1" applyProtection="1">
      <alignment horizontal="center" vertical="center" wrapText="1"/>
      <protection hidden="1"/>
    </xf>
    <xf numFmtId="38" fontId="24" fillId="6" borderId="47" xfId="0" applyNumberFormat="1" applyFont="1" applyFill="1" applyBorder="1" applyAlignment="1" applyProtection="1">
      <alignment horizontal="center" vertical="center"/>
      <protection hidden="1"/>
    </xf>
    <xf numFmtId="38" fontId="24" fillId="6" borderId="66" xfId="0" applyNumberFormat="1" applyFont="1" applyFill="1" applyBorder="1" applyAlignment="1" applyProtection="1">
      <alignment horizontal="center" vertical="center"/>
      <protection hidden="1"/>
    </xf>
    <xf numFmtId="0" fontId="20" fillId="7" borderId="15" xfId="0" applyFont="1" applyFill="1" applyBorder="1" applyAlignment="1" applyProtection="1">
      <alignment horizontal="center" vertical="center"/>
      <protection hidden="1"/>
    </xf>
    <xf numFmtId="0" fontId="20" fillId="7" borderId="16" xfId="0" applyFont="1" applyFill="1" applyBorder="1" applyAlignment="1" applyProtection="1">
      <alignment horizontal="center" vertical="center"/>
      <protection hidden="1"/>
    </xf>
    <xf numFmtId="0" fontId="20" fillId="7" borderId="17" xfId="0" applyFont="1" applyFill="1" applyBorder="1" applyAlignment="1" applyProtection="1">
      <alignment horizontal="center" vertical="center"/>
      <protection hidden="1"/>
    </xf>
    <xf numFmtId="0" fontId="5" fillId="19" borderId="5" xfId="0" applyFont="1" applyFill="1" applyBorder="1" applyAlignment="1" applyProtection="1">
      <alignment horizontal="center" vertical="center" wrapText="1"/>
      <protection hidden="1"/>
    </xf>
    <xf numFmtId="0" fontId="5" fillId="19" borderId="2" xfId="0" applyFont="1" applyFill="1" applyBorder="1" applyAlignment="1" applyProtection="1">
      <alignment horizontal="center" vertical="center" wrapText="1"/>
      <protection hidden="1"/>
    </xf>
    <xf numFmtId="38" fontId="24" fillId="15" borderId="2" xfId="0" applyNumberFormat="1" applyFont="1" applyFill="1" applyBorder="1" applyProtection="1">
      <alignment vertical="center"/>
      <protection hidden="1"/>
    </xf>
    <xf numFmtId="0" fontId="44" fillId="0" borderId="0" xfId="0" applyFont="1" applyProtection="1">
      <alignment vertical="center"/>
      <protection hidden="1"/>
    </xf>
    <xf numFmtId="38" fontId="24" fillId="6" borderId="6" xfId="2" applyFont="1" applyFill="1" applyBorder="1" applyAlignment="1" applyProtection="1">
      <alignment horizontal="center" vertical="center"/>
      <protection hidden="1"/>
    </xf>
    <xf numFmtId="38" fontId="24" fillId="6" borderId="7" xfId="2" applyFont="1" applyFill="1" applyBorder="1" applyAlignment="1" applyProtection="1">
      <alignment horizontal="center" vertical="center"/>
      <protection hidden="1"/>
    </xf>
    <xf numFmtId="38" fontId="24" fillId="6" borderId="27" xfId="2" applyFont="1" applyFill="1" applyBorder="1" applyAlignment="1" applyProtection="1">
      <alignment horizontal="center" vertical="center"/>
      <protection hidden="1"/>
    </xf>
    <xf numFmtId="38" fontId="24" fillId="15" borderId="12" xfId="0" applyNumberFormat="1" applyFont="1" applyFill="1" applyBorder="1" applyProtection="1">
      <alignment vertical="center"/>
      <protection hidden="1"/>
    </xf>
    <xf numFmtId="0" fontId="24" fillId="7" borderId="21" xfId="0" applyFont="1" applyFill="1" applyBorder="1" applyAlignment="1" applyProtection="1">
      <alignment horizontal="center" vertical="center"/>
      <protection hidden="1"/>
    </xf>
    <xf numFmtId="0" fontId="20" fillId="7" borderId="27" xfId="0" applyFont="1" applyFill="1" applyBorder="1" applyAlignment="1" applyProtection="1">
      <alignment horizontal="center" vertical="center"/>
      <protection hidden="1"/>
    </xf>
    <xf numFmtId="0" fontId="14" fillId="0" borderId="67" xfId="0" applyFont="1" applyBorder="1" applyProtection="1">
      <alignment vertical="center"/>
      <protection hidden="1"/>
    </xf>
    <xf numFmtId="0" fontId="18" fillId="0" borderId="0" xfId="0" applyFont="1" applyAlignment="1" applyProtection="1">
      <alignment horizontal="center" vertical="center"/>
      <protection hidden="1"/>
    </xf>
    <xf numFmtId="38" fontId="24" fillId="8" borderId="2" xfId="2" applyFont="1" applyFill="1" applyBorder="1" applyProtection="1">
      <alignment vertical="center"/>
      <protection hidden="1"/>
    </xf>
    <xf numFmtId="176" fontId="24" fillId="8" borderId="2" xfId="1" applyNumberFormat="1" applyFont="1" applyFill="1" applyBorder="1" applyProtection="1">
      <alignment vertical="center"/>
      <protection hidden="1"/>
    </xf>
    <xf numFmtId="0" fontId="5" fillId="19" borderId="3" xfId="0" applyFont="1" applyFill="1" applyBorder="1" applyAlignment="1" applyProtection="1">
      <alignment horizontal="center" vertical="center" wrapText="1"/>
      <protection hidden="1"/>
    </xf>
    <xf numFmtId="38" fontId="24" fillId="15" borderId="3" xfId="0" applyNumberFormat="1" applyFont="1" applyFill="1" applyBorder="1" applyProtection="1">
      <alignment vertical="center"/>
      <protection hidden="1"/>
    </xf>
    <xf numFmtId="38" fontId="24" fillId="15" borderId="3" xfId="2" applyFont="1" applyFill="1" applyBorder="1" applyProtection="1">
      <alignment vertical="center"/>
      <protection hidden="1"/>
    </xf>
    <xf numFmtId="38" fontId="24" fillId="6" borderId="28" xfId="2" applyFont="1" applyFill="1" applyBorder="1" applyAlignment="1" applyProtection="1">
      <alignment horizontal="center" vertical="center"/>
      <protection hidden="1"/>
    </xf>
    <xf numFmtId="38" fontId="20" fillId="6" borderId="68" xfId="2" applyFont="1" applyFill="1" applyBorder="1" applyAlignment="1" applyProtection="1">
      <alignment horizontal="center" vertical="center"/>
      <protection hidden="1"/>
    </xf>
    <xf numFmtId="176" fontId="24" fillId="6" borderId="21" xfId="1" applyNumberFormat="1" applyFont="1" applyFill="1" applyBorder="1" applyAlignment="1" applyProtection="1">
      <alignment horizontal="center" vertical="center"/>
      <protection hidden="1"/>
    </xf>
    <xf numFmtId="38" fontId="24" fillId="8" borderId="18" xfId="2" applyFont="1" applyFill="1" applyBorder="1" applyProtection="1">
      <alignment vertical="center"/>
      <protection hidden="1"/>
    </xf>
    <xf numFmtId="38" fontId="24" fillId="8" borderId="7" xfId="2" applyFont="1" applyFill="1" applyBorder="1" applyProtection="1">
      <alignment vertical="center"/>
      <protection hidden="1"/>
    </xf>
    <xf numFmtId="176" fontId="24" fillId="8" borderId="7" xfId="1" applyNumberFormat="1" applyFont="1" applyFill="1" applyBorder="1" applyProtection="1">
      <alignment vertical="center"/>
      <protection hidden="1"/>
    </xf>
    <xf numFmtId="38" fontId="24" fillId="8" borderId="19" xfId="2" applyFont="1" applyFill="1" applyBorder="1" applyProtection="1">
      <alignment vertical="center"/>
      <protection hidden="1"/>
    </xf>
    <xf numFmtId="38" fontId="24" fillId="8" borderId="62" xfId="2" applyFont="1" applyFill="1" applyBorder="1" applyProtection="1">
      <alignment vertical="center"/>
      <protection hidden="1"/>
    </xf>
    <xf numFmtId="38" fontId="24" fillId="8" borderId="64" xfId="2" applyFont="1" applyFill="1" applyBorder="1" applyProtection="1">
      <alignment vertical="center"/>
      <protection hidden="1"/>
    </xf>
    <xf numFmtId="0" fontId="45" fillId="0" borderId="0" xfId="0" applyFont="1" applyProtection="1">
      <alignment vertical="center"/>
      <protection hidden="1"/>
    </xf>
    <xf numFmtId="0" fontId="24" fillId="0" borderId="0" xfId="0" applyFont="1">
      <alignment vertical="center"/>
    </xf>
    <xf numFmtId="0" fontId="53" fillId="0" borderId="27" xfId="0" applyFont="1" applyBorder="1" applyProtection="1">
      <alignment vertical="center"/>
      <protection locked="0"/>
    </xf>
    <xf numFmtId="0" fontId="53" fillId="0" borderId="27" xfId="0" applyFont="1" applyBorder="1" applyAlignment="1" applyProtection="1">
      <alignment horizontal="right" vertical="center"/>
      <protection locked="0"/>
    </xf>
    <xf numFmtId="185" fontId="53" fillId="0" borderId="27" xfId="1" applyNumberFormat="1" applyFont="1" applyFill="1" applyBorder="1" applyAlignment="1" applyProtection="1">
      <alignment vertical="center"/>
      <protection locked="0"/>
    </xf>
    <xf numFmtId="0" fontId="23" fillId="6" borderId="1" xfId="0" applyFont="1" applyFill="1" applyBorder="1" applyProtection="1">
      <alignment vertical="center"/>
      <protection hidden="1"/>
    </xf>
    <xf numFmtId="0" fontId="23" fillId="6" borderId="2" xfId="0" applyFont="1" applyFill="1" applyBorder="1" applyProtection="1">
      <alignment vertical="center"/>
      <protection hidden="1"/>
    </xf>
    <xf numFmtId="0" fontId="23" fillId="6" borderId="18" xfId="0" applyFont="1" applyFill="1" applyBorder="1" applyProtection="1">
      <alignment vertical="center"/>
      <protection hidden="1"/>
    </xf>
    <xf numFmtId="0" fontId="5" fillId="7" borderId="1" xfId="0" applyFont="1" applyFill="1" applyBorder="1" applyAlignment="1" applyProtection="1">
      <alignment horizontal="center" vertical="center" wrapText="1"/>
      <protection hidden="1"/>
    </xf>
    <xf numFmtId="0" fontId="5" fillId="7" borderId="2" xfId="0" applyFont="1" applyFill="1" applyBorder="1" applyAlignment="1" applyProtection="1">
      <alignment horizontal="center" vertical="center" wrapText="1"/>
      <protection hidden="1"/>
    </xf>
    <xf numFmtId="38" fontId="24" fillId="14" borderId="68" xfId="2" applyFont="1" applyFill="1" applyBorder="1" applyProtection="1">
      <alignment vertical="center"/>
      <protection hidden="1"/>
    </xf>
    <xf numFmtId="38" fontId="24" fillId="14" borderId="54" xfId="2" applyFont="1" applyFill="1" applyBorder="1" applyProtection="1">
      <alignment vertical="center"/>
      <protection hidden="1"/>
    </xf>
    <xf numFmtId="38" fontId="24" fillId="14" borderId="36" xfId="2" applyFont="1" applyFill="1" applyBorder="1" applyProtection="1">
      <alignment vertical="center"/>
      <protection hidden="1"/>
    </xf>
    <xf numFmtId="38" fontId="20" fillId="6" borderId="66" xfId="2" applyFont="1" applyFill="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14" fillId="0" borderId="13" xfId="0" applyFont="1" applyBorder="1" applyProtection="1">
      <alignment vertical="center"/>
      <protection hidden="1"/>
    </xf>
    <xf numFmtId="0" fontId="62" fillId="0" borderId="0" xfId="0" applyFont="1" applyAlignment="1" applyProtection="1">
      <alignment horizontal="left"/>
      <protection hidden="1"/>
    </xf>
    <xf numFmtId="0" fontId="49" fillId="0" borderId="0" xfId="0" applyFont="1" applyAlignment="1" applyProtection="1">
      <alignment horizontal="center"/>
      <protection hidden="1"/>
    </xf>
    <xf numFmtId="38" fontId="24" fillId="15" borderId="5" xfId="0" applyNumberFormat="1" applyFont="1" applyFill="1" applyBorder="1" applyProtection="1">
      <alignment vertical="center"/>
      <protection hidden="1"/>
    </xf>
    <xf numFmtId="38" fontId="24" fillId="15" borderId="12" xfId="2" applyFont="1" applyFill="1" applyBorder="1" applyProtection="1">
      <alignment vertical="center"/>
      <protection hidden="1"/>
    </xf>
    <xf numFmtId="176" fontId="24" fillId="15" borderId="38" xfId="1" applyNumberFormat="1" applyFont="1" applyFill="1" applyBorder="1" applyProtection="1">
      <alignment vertical="center"/>
      <protection hidden="1"/>
    </xf>
    <xf numFmtId="176" fontId="24" fillId="15" borderId="2" xfId="1" applyNumberFormat="1" applyFont="1" applyFill="1" applyBorder="1" applyProtection="1">
      <alignment vertical="center"/>
      <protection hidden="1"/>
    </xf>
    <xf numFmtId="0" fontId="43" fillId="0" borderId="0" xfId="0" applyFont="1" applyProtection="1">
      <alignment vertical="center"/>
      <protection hidden="1"/>
    </xf>
    <xf numFmtId="0" fontId="24" fillId="7" borderId="9" xfId="0" applyFont="1" applyFill="1" applyBorder="1" applyAlignment="1" applyProtection="1">
      <alignment horizontal="center" vertical="center"/>
      <protection hidden="1"/>
    </xf>
    <xf numFmtId="0" fontId="63" fillId="0" borderId="58" xfId="0" applyFont="1" applyBorder="1" applyAlignment="1" applyProtection="1">
      <alignment horizontal="center" vertical="center"/>
      <protection locked="0"/>
    </xf>
    <xf numFmtId="0" fontId="63" fillId="0" borderId="57" xfId="0" applyFont="1" applyBorder="1" applyAlignment="1" applyProtection="1">
      <alignment horizontal="center" vertical="center"/>
      <protection locked="0"/>
    </xf>
    <xf numFmtId="0" fontId="34" fillId="0" borderId="57" xfId="0" applyFont="1" applyBorder="1" applyAlignment="1" applyProtection="1">
      <alignment horizontal="center" vertical="center"/>
      <protection locked="0"/>
    </xf>
    <xf numFmtId="0" fontId="34" fillId="0" borderId="57" xfId="0" applyFont="1" applyBorder="1" applyAlignment="1" applyProtection="1">
      <alignment horizontal="center" wrapText="1"/>
      <protection locked="0"/>
    </xf>
    <xf numFmtId="183" fontId="34" fillId="0" borderId="57" xfId="0" applyNumberFormat="1" applyFont="1" applyBorder="1" applyAlignment="1" applyProtection="1">
      <alignment horizontal="center" wrapText="1"/>
      <protection locked="0"/>
    </xf>
    <xf numFmtId="0" fontId="32" fillId="0" borderId="0" xfId="0" applyFont="1" applyAlignment="1" applyProtection="1">
      <alignment horizontal="center" vertical="center"/>
      <protection hidden="1"/>
    </xf>
    <xf numFmtId="0" fontId="32" fillId="0" borderId="0" xfId="0" applyFont="1" applyProtection="1">
      <alignment vertical="center"/>
      <protection hidden="1"/>
    </xf>
    <xf numFmtId="38" fontId="32" fillId="0" borderId="0" xfId="2" applyFont="1" applyAlignment="1" applyProtection="1">
      <alignment horizontal="center" vertical="center"/>
      <protection hidden="1"/>
    </xf>
    <xf numFmtId="183" fontId="32" fillId="5" borderId="56" xfId="4" applyNumberFormat="1" applyFont="1" applyFill="1" applyBorder="1" applyAlignment="1" applyProtection="1">
      <alignment horizontal="center" vertical="center"/>
      <protection hidden="1"/>
    </xf>
    <xf numFmtId="0" fontId="64" fillId="7" borderId="58" xfId="0" applyFont="1" applyFill="1" applyBorder="1" applyAlignment="1" applyProtection="1">
      <alignment horizontal="center" vertical="center"/>
      <protection hidden="1"/>
    </xf>
    <xf numFmtId="38" fontId="34" fillId="0" borderId="58" xfId="2" applyFont="1" applyFill="1" applyBorder="1" applyAlignment="1" applyProtection="1">
      <alignment horizontal="center" vertical="center"/>
      <protection locked="0"/>
    </xf>
    <xf numFmtId="0" fontId="64" fillId="0" borderId="0" xfId="0" applyFont="1" applyProtection="1">
      <alignment vertical="center"/>
      <protection hidden="1"/>
    </xf>
    <xf numFmtId="0" fontId="64" fillId="7" borderId="57" xfId="0" applyFont="1" applyFill="1" applyBorder="1" applyAlignment="1" applyProtection="1">
      <alignment horizontal="center" vertical="center"/>
      <protection hidden="1"/>
    </xf>
    <xf numFmtId="0" fontId="32" fillId="8" borderId="57" xfId="0" applyFont="1" applyFill="1" applyBorder="1" applyAlignment="1" applyProtection="1">
      <alignment horizontal="right" vertical="center"/>
      <protection hidden="1"/>
    </xf>
    <xf numFmtId="38" fontId="34" fillId="0" borderId="57" xfId="2" applyFont="1" applyFill="1" applyBorder="1" applyAlignment="1" applyProtection="1">
      <alignment horizontal="center" vertical="center"/>
      <protection locked="0"/>
    </xf>
    <xf numFmtId="0" fontId="70" fillId="0" borderId="0" xfId="0" applyFont="1" applyAlignment="1" applyProtection="1">
      <alignment horizontal="center" vertical="center"/>
      <protection hidden="1"/>
    </xf>
    <xf numFmtId="0" fontId="72" fillId="0" borderId="0" xfId="0" applyFont="1" applyAlignment="1" applyProtection="1">
      <alignment horizontal="left" vertical="center"/>
      <protection hidden="1"/>
    </xf>
    <xf numFmtId="0" fontId="32" fillId="0" borderId="0" xfId="0" applyFont="1" applyAlignment="1" applyProtection="1">
      <alignment horizontal="right" vertical="center"/>
      <protection hidden="1"/>
    </xf>
    <xf numFmtId="38" fontId="32" fillId="0" borderId="0" xfId="2" applyFont="1" applyAlignment="1" applyProtection="1">
      <alignment horizontal="right" vertical="center"/>
      <protection hidden="1"/>
    </xf>
    <xf numFmtId="38" fontId="34" fillId="0" borderId="58" xfId="2" applyFont="1" applyFill="1" applyBorder="1" applyAlignment="1" applyProtection="1">
      <alignment horizontal="right" vertical="center"/>
      <protection locked="0"/>
    </xf>
    <xf numFmtId="186" fontId="23" fillId="6" borderId="6" xfId="0" applyNumberFormat="1" applyFont="1" applyFill="1" applyBorder="1" applyProtection="1">
      <alignment vertical="center"/>
      <protection hidden="1"/>
    </xf>
    <xf numFmtId="186" fontId="23" fillId="6" borderId="7" xfId="0" applyNumberFormat="1" applyFont="1" applyFill="1" applyBorder="1" applyProtection="1">
      <alignment vertical="center"/>
      <protection hidden="1"/>
    </xf>
    <xf numFmtId="186" fontId="23" fillId="6" borderId="19" xfId="0" applyNumberFormat="1" applyFont="1" applyFill="1" applyBorder="1" applyProtection="1">
      <alignment vertical="center"/>
      <protection hidden="1"/>
    </xf>
    <xf numFmtId="0" fontId="76" fillId="0" borderId="0" xfId="0" applyFont="1" applyProtection="1">
      <alignment vertical="center"/>
      <protection hidden="1"/>
    </xf>
    <xf numFmtId="0" fontId="33" fillId="0" borderId="58" xfId="0" applyFont="1" applyBorder="1" applyAlignment="1" applyProtection="1">
      <alignment horizontal="center" vertical="center"/>
      <protection locked="0"/>
    </xf>
    <xf numFmtId="0" fontId="34" fillId="0" borderId="58" xfId="0" applyFont="1" applyBorder="1" applyAlignment="1" applyProtection="1">
      <alignment horizontal="center" vertical="center"/>
      <protection locked="0"/>
    </xf>
    <xf numFmtId="0" fontId="34" fillId="0" borderId="58" xfId="0" applyFont="1" applyBorder="1" applyAlignment="1" applyProtection="1">
      <alignment horizontal="center" wrapText="1"/>
      <protection locked="0"/>
    </xf>
    <xf numFmtId="183" fontId="34" fillId="0" borderId="58" xfId="0" applyNumberFormat="1" applyFont="1" applyBorder="1" applyAlignment="1" applyProtection="1">
      <alignment horizontal="center" wrapText="1"/>
      <protection locked="0"/>
    </xf>
    <xf numFmtId="0" fontId="32" fillId="8" borderId="58" xfId="0" applyFont="1" applyFill="1" applyBorder="1" applyAlignment="1" applyProtection="1">
      <alignment horizontal="right" vertical="center"/>
      <protection hidden="1"/>
    </xf>
    <xf numFmtId="38" fontId="24" fillId="18" borderId="13" xfId="2" applyFont="1" applyFill="1" applyBorder="1" applyProtection="1">
      <alignment vertical="center"/>
      <protection hidden="1"/>
    </xf>
    <xf numFmtId="38" fontId="24" fillId="18" borderId="25" xfId="2" applyFont="1" applyFill="1" applyBorder="1" applyProtection="1">
      <alignment vertical="center"/>
      <protection hidden="1"/>
    </xf>
    <xf numFmtId="0" fontId="5" fillId="17" borderId="44" xfId="0" applyFont="1" applyFill="1" applyBorder="1" applyAlignment="1" applyProtection="1">
      <alignment horizontal="center" vertical="center" wrapText="1"/>
      <protection hidden="1"/>
    </xf>
    <xf numFmtId="0" fontId="5" fillId="17" borderId="49" xfId="0" applyFont="1" applyFill="1" applyBorder="1" applyAlignment="1" applyProtection="1">
      <alignment horizontal="center" vertical="center" wrapText="1"/>
      <protection hidden="1"/>
    </xf>
    <xf numFmtId="0" fontId="77" fillId="0" borderId="0" xfId="0" applyFont="1" applyProtection="1">
      <alignment vertical="center"/>
      <protection hidden="1"/>
    </xf>
    <xf numFmtId="0" fontId="0" fillId="0" borderId="0" xfId="0" applyProtection="1">
      <alignment vertical="center"/>
      <protection locked="0"/>
    </xf>
    <xf numFmtId="0" fontId="0" fillId="0" borderId="0" xfId="0" applyAlignment="1" applyProtection="1">
      <alignment horizontal="center" vertical="center"/>
      <protection locked="0"/>
    </xf>
    <xf numFmtId="0" fontId="40" fillId="0" borderId="0" xfId="0" applyFont="1">
      <alignment vertical="center"/>
    </xf>
    <xf numFmtId="38" fontId="0" fillId="0" borderId="0" xfId="0" applyNumberFormat="1" applyProtection="1">
      <alignment vertical="center"/>
      <protection locked="0"/>
    </xf>
    <xf numFmtId="40" fontId="34" fillId="0" borderId="58" xfId="2" applyNumberFormat="1" applyFont="1" applyFill="1" applyBorder="1" applyAlignment="1" applyProtection="1">
      <alignment horizontal="center" vertical="center"/>
      <protection locked="0"/>
    </xf>
    <xf numFmtId="40" fontId="34" fillId="0" borderId="57" xfId="2" applyNumberFormat="1" applyFont="1" applyFill="1" applyBorder="1" applyAlignment="1" applyProtection="1">
      <alignment horizontal="center"/>
      <protection locked="0"/>
    </xf>
    <xf numFmtId="38" fontId="24" fillId="6" borderId="2" xfId="0" applyNumberFormat="1" applyFont="1" applyFill="1" applyBorder="1" applyProtection="1">
      <alignment vertical="center"/>
      <protection hidden="1"/>
    </xf>
    <xf numFmtId="0" fontId="26" fillId="0" borderId="0" xfId="0" applyFont="1" applyAlignment="1" applyProtection="1">
      <alignment horizontal="center" vertical="center"/>
      <protection hidden="1"/>
    </xf>
    <xf numFmtId="0" fontId="24" fillId="0" borderId="0" xfId="0" applyFont="1" applyAlignment="1" applyProtection="1">
      <alignment horizontal="center" vertical="center"/>
      <protection hidden="1"/>
    </xf>
    <xf numFmtId="0" fontId="38" fillId="0" borderId="0" xfId="0" applyFont="1" applyAlignment="1" applyProtection="1">
      <alignment horizontal="center" vertical="center"/>
      <protection hidden="1"/>
    </xf>
    <xf numFmtId="38" fontId="38" fillId="0" borderId="0" xfId="2" applyFont="1" applyFill="1" applyBorder="1" applyAlignment="1" applyProtection="1">
      <alignment horizontal="center" vertical="center"/>
      <protection hidden="1"/>
    </xf>
    <xf numFmtId="0" fontId="18" fillId="0" borderId="0" xfId="0" applyFont="1" applyAlignment="1" applyProtection="1">
      <alignment horizontal="right" vertical="center"/>
      <protection hidden="1"/>
    </xf>
    <xf numFmtId="0" fontId="80" fillId="0" borderId="0" xfId="0" applyFont="1" applyProtection="1">
      <alignment vertical="center"/>
      <protection hidden="1"/>
    </xf>
    <xf numFmtId="0" fontId="24" fillId="0" borderId="0" xfId="0" applyFont="1" applyProtection="1">
      <alignment vertical="center"/>
      <protection locked="0"/>
    </xf>
    <xf numFmtId="0" fontId="16" fillId="0" borderId="0" xfId="0" applyFont="1">
      <alignment vertical="center"/>
    </xf>
    <xf numFmtId="0" fontId="96" fillId="0" borderId="0" xfId="0" applyFont="1" applyProtection="1">
      <alignment vertical="center"/>
      <protection hidden="1"/>
    </xf>
    <xf numFmtId="0" fontId="97" fillId="16" borderId="0" xfId="0" applyFont="1" applyFill="1" applyProtection="1">
      <alignment vertical="center"/>
      <protection hidden="1"/>
    </xf>
    <xf numFmtId="0" fontId="99" fillId="16" borderId="2" xfId="0" applyFont="1" applyFill="1" applyBorder="1" applyAlignment="1" applyProtection="1">
      <alignment horizontal="center" vertical="center"/>
      <protection hidden="1"/>
    </xf>
    <xf numFmtId="0" fontId="100" fillId="16" borderId="0" xfId="0" applyFont="1" applyFill="1" applyAlignment="1" applyProtection="1">
      <alignment horizontal="right" vertical="center"/>
      <protection hidden="1"/>
    </xf>
    <xf numFmtId="38" fontId="23" fillId="0" borderId="0" xfId="2" applyFont="1" applyFill="1" applyBorder="1" applyAlignment="1" applyProtection="1">
      <alignment horizontal="center" vertical="center"/>
      <protection hidden="1"/>
    </xf>
    <xf numFmtId="0" fontId="101" fillId="0" borderId="0" xfId="0" applyFont="1">
      <alignment vertical="center"/>
    </xf>
    <xf numFmtId="38" fontId="100" fillId="16" borderId="2" xfId="2" applyFont="1" applyFill="1" applyBorder="1" applyAlignment="1" applyProtection="1">
      <alignment horizontal="center" vertical="center"/>
      <protection hidden="1"/>
    </xf>
    <xf numFmtId="0" fontId="28" fillId="7" borderId="17" xfId="0" applyFont="1" applyFill="1" applyBorder="1" applyAlignment="1" applyProtection="1">
      <alignment horizontal="center" vertical="center"/>
      <protection hidden="1"/>
    </xf>
    <xf numFmtId="38" fontId="103" fillId="16" borderId="2" xfId="2" applyFont="1" applyFill="1" applyBorder="1" applyAlignment="1" applyProtection="1">
      <alignment horizontal="center" vertical="center"/>
      <protection hidden="1"/>
    </xf>
    <xf numFmtId="38" fontId="24" fillId="6" borderId="27" xfId="0" applyNumberFormat="1" applyFont="1" applyFill="1" applyBorder="1" applyAlignment="1" applyProtection="1">
      <alignment horizontal="center" vertical="center"/>
      <protection hidden="1"/>
    </xf>
    <xf numFmtId="0" fontId="5" fillId="17" borderId="27" xfId="0" applyFont="1" applyFill="1" applyBorder="1" applyAlignment="1" applyProtection="1">
      <alignment horizontal="center" vertical="center" wrapText="1"/>
      <protection hidden="1"/>
    </xf>
    <xf numFmtId="183" fontId="34" fillId="0" borderId="0" xfId="4" applyNumberFormat="1" applyFont="1" applyAlignment="1" applyProtection="1">
      <alignment horizontal="center" vertical="center"/>
      <protection locked="0"/>
    </xf>
    <xf numFmtId="0" fontId="35" fillId="0" borderId="0" xfId="0" applyFont="1" applyProtection="1">
      <alignment vertical="center"/>
      <protection hidden="1"/>
    </xf>
    <xf numFmtId="0" fontId="14" fillId="0" borderId="0" xfId="0" applyFont="1" applyAlignment="1" applyProtection="1">
      <alignment horizontal="right" vertical="center"/>
      <protection hidden="1"/>
    </xf>
    <xf numFmtId="38" fontId="37" fillId="0" borderId="0" xfId="2" applyFont="1" applyFill="1" applyBorder="1" applyProtection="1">
      <alignment vertical="center"/>
      <protection hidden="1"/>
    </xf>
    <xf numFmtId="38" fontId="24" fillId="6" borderId="19" xfId="0" applyNumberFormat="1" applyFont="1" applyFill="1" applyBorder="1" applyAlignment="1" applyProtection="1">
      <alignment horizontal="center" vertical="center"/>
      <protection hidden="1"/>
    </xf>
    <xf numFmtId="0" fontId="102" fillId="16" borderId="2" xfId="0" applyFont="1" applyFill="1" applyBorder="1" applyAlignment="1" applyProtection="1">
      <alignment horizontal="center" vertical="center"/>
      <protection hidden="1"/>
    </xf>
    <xf numFmtId="0" fontId="100" fillId="16" borderId="2" xfId="0" applyFont="1" applyFill="1" applyBorder="1" applyAlignment="1" applyProtection="1">
      <alignment horizontal="center" vertical="center"/>
      <protection hidden="1"/>
    </xf>
    <xf numFmtId="38" fontId="32" fillId="8" borderId="57" xfId="2" applyFont="1" applyFill="1" applyBorder="1" applyAlignment="1" applyProtection="1">
      <alignment horizontal="right"/>
      <protection hidden="1"/>
    </xf>
    <xf numFmtId="38" fontId="69" fillId="8" borderId="57" xfId="2" applyFont="1" applyFill="1" applyBorder="1" applyAlignment="1" applyProtection="1">
      <alignment horizontal="right"/>
      <protection hidden="1"/>
    </xf>
    <xf numFmtId="38" fontId="69" fillId="8" borderId="58" xfId="2" applyFont="1" applyFill="1" applyBorder="1" applyAlignment="1" applyProtection="1">
      <alignment horizontal="right" vertical="center"/>
      <protection hidden="1"/>
    </xf>
    <xf numFmtId="38" fontId="69" fillId="8" borderId="57" xfId="2" applyFont="1" applyFill="1" applyBorder="1" applyAlignment="1" applyProtection="1">
      <alignment horizontal="right" vertical="center"/>
      <protection hidden="1"/>
    </xf>
    <xf numFmtId="38" fontId="69" fillId="8" borderId="74" xfId="2" applyFont="1" applyFill="1" applyBorder="1" applyAlignment="1" applyProtection="1">
      <alignment horizontal="right" vertical="center"/>
      <protection hidden="1"/>
    </xf>
    <xf numFmtId="0" fontId="71" fillId="0" borderId="0" xfId="0" applyFont="1" applyAlignment="1" applyProtection="1">
      <alignment horizontal="center" vertical="center"/>
      <protection locked="0"/>
    </xf>
    <xf numFmtId="0" fontId="71" fillId="0" borderId="0" xfId="0" applyFont="1" applyProtection="1">
      <alignment vertical="center"/>
      <protection locked="0"/>
    </xf>
    <xf numFmtId="0" fontId="65" fillId="0" borderId="0" xfId="0" applyFont="1" applyAlignment="1" applyProtection="1">
      <alignment horizontal="left" vertical="center"/>
      <protection locked="0"/>
    </xf>
    <xf numFmtId="0" fontId="66" fillId="0" borderId="0" xfId="0" applyFont="1" applyAlignment="1" applyProtection="1">
      <alignment horizontal="left" vertical="center"/>
      <protection locked="0"/>
    </xf>
    <xf numFmtId="0" fontId="67" fillId="0" borderId="0" xfId="0" applyFont="1" applyAlignment="1" applyProtection="1">
      <alignment horizontal="left" vertical="center"/>
      <protection locked="0"/>
    </xf>
    <xf numFmtId="0" fontId="32" fillId="0" borderId="0" xfId="0" applyFont="1" applyProtection="1">
      <alignment vertical="center"/>
      <protection locked="0"/>
    </xf>
    <xf numFmtId="0" fontId="66" fillId="0" borderId="0" xfId="0" applyFont="1" applyAlignment="1" applyProtection="1">
      <alignment horizontal="center" vertical="center"/>
      <protection locked="0"/>
    </xf>
    <xf numFmtId="0" fontId="5" fillId="0" borderId="0" xfId="0" applyFont="1" applyAlignment="1" applyProtection="1">
      <alignment vertical="top"/>
      <protection locked="0"/>
    </xf>
    <xf numFmtId="0" fontId="68" fillId="0" borderId="0" xfId="0" applyFont="1" applyAlignment="1" applyProtection="1">
      <alignment horizontal="left" vertical="center"/>
      <protection locked="0"/>
    </xf>
    <xf numFmtId="0" fontId="66" fillId="0" borderId="0" xfId="0" applyFont="1" applyProtection="1">
      <alignment vertical="center"/>
      <protection locked="0"/>
    </xf>
    <xf numFmtId="0" fontId="32" fillId="0" borderId="0" xfId="0" applyFont="1" applyAlignment="1" applyProtection="1">
      <alignment horizontal="center" vertical="center"/>
      <protection locked="0"/>
    </xf>
    <xf numFmtId="0" fontId="32" fillId="0" borderId="0" xfId="0" applyFont="1" applyAlignment="1" applyProtection="1">
      <alignment horizontal="right" vertical="center"/>
      <protection locked="0"/>
    </xf>
    <xf numFmtId="38" fontId="34" fillId="0" borderId="0" xfId="2" applyFont="1" applyBorder="1" applyAlignment="1" applyProtection="1">
      <alignment horizontal="right" vertical="center"/>
      <protection locked="0"/>
    </xf>
    <xf numFmtId="38" fontId="32" fillId="0" borderId="0" xfId="2" applyFont="1" applyAlignment="1" applyProtection="1">
      <alignment horizontal="right" vertical="center"/>
      <protection locked="0"/>
    </xf>
    <xf numFmtId="38" fontId="34" fillId="0" borderId="0" xfId="2" applyFont="1" applyBorder="1" applyAlignment="1" applyProtection="1">
      <alignment horizontal="center" vertical="center"/>
      <protection locked="0"/>
    </xf>
    <xf numFmtId="37" fontId="32" fillId="4" borderId="55" xfId="4" applyFont="1" applyFill="1" applyBorder="1" applyAlignment="1" applyProtection="1">
      <alignment horizontal="center" vertical="center"/>
      <protection locked="0"/>
    </xf>
    <xf numFmtId="37" fontId="32" fillId="0" borderId="0" xfId="4" applyFont="1" applyAlignment="1" applyProtection="1">
      <alignment horizontal="center" vertical="center"/>
      <protection locked="0"/>
    </xf>
    <xf numFmtId="38" fontId="32" fillId="0" borderId="0" xfId="2" applyFont="1" applyFill="1" applyBorder="1" applyAlignment="1" applyProtection="1">
      <alignment horizontal="right" vertical="center"/>
      <protection locked="0"/>
    </xf>
    <xf numFmtId="0" fontId="62" fillId="0" borderId="0" xfId="0" applyFont="1" applyAlignment="1" applyProtection="1">
      <alignment horizontal="left"/>
      <protection locked="0"/>
    </xf>
    <xf numFmtId="38" fontId="32" fillId="0" borderId="0" xfId="2" applyFont="1" applyAlignment="1" applyProtection="1">
      <alignment horizontal="center" vertical="center"/>
      <protection locked="0"/>
    </xf>
    <xf numFmtId="38" fontId="32" fillId="0" borderId="0" xfId="0" applyNumberFormat="1" applyFont="1" applyAlignment="1" applyProtection="1">
      <alignment horizontal="right" vertical="center"/>
      <protection locked="0"/>
    </xf>
    <xf numFmtId="38" fontId="32" fillId="0" borderId="0" xfId="0" applyNumberFormat="1" applyFont="1" applyAlignment="1" applyProtection="1">
      <alignment horizontal="center" vertical="center"/>
      <protection locked="0"/>
    </xf>
    <xf numFmtId="38" fontId="66" fillId="0" borderId="0" xfId="2" applyFont="1" applyFill="1" applyBorder="1" applyAlignment="1" applyProtection="1">
      <alignment horizontal="right" vertical="center"/>
      <protection locked="0"/>
    </xf>
    <xf numFmtId="183" fontId="32" fillId="0" borderId="0" xfId="4" applyNumberFormat="1" applyFont="1" applyAlignment="1" applyProtection="1">
      <alignment horizontal="center" vertical="center"/>
      <protection locked="0"/>
    </xf>
    <xf numFmtId="38" fontId="64" fillId="0" borderId="0" xfId="2" applyFont="1" applyFill="1" applyBorder="1" applyAlignment="1" applyProtection="1">
      <alignment horizontal="center" vertical="center"/>
      <protection locked="0"/>
    </xf>
    <xf numFmtId="38" fontId="78" fillId="0" borderId="0" xfId="0" applyNumberFormat="1" applyFont="1" applyAlignment="1" applyProtection="1">
      <alignment horizontal="center" vertical="center"/>
      <protection locked="0"/>
    </xf>
    <xf numFmtId="0" fontId="36" fillId="0" borderId="0" xfId="0" applyFont="1" applyAlignment="1" applyProtection="1">
      <alignment horizontal="left" vertical="center"/>
      <protection locked="0"/>
    </xf>
    <xf numFmtId="38" fontId="32" fillId="0" borderId="0" xfId="2" applyFont="1" applyFill="1" applyBorder="1" applyAlignment="1" applyProtection="1">
      <alignment horizontal="left" vertical="center"/>
      <protection locked="0"/>
    </xf>
    <xf numFmtId="38" fontId="64" fillId="9" borderId="3" xfId="0" applyNumberFormat="1" applyFont="1" applyFill="1" applyBorder="1" applyProtection="1">
      <alignment vertical="center"/>
      <protection locked="0"/>
    </xf>
    <xf numFmtId="38" fontId="64" fillId="9" borderId="5" xfId="0" applyNumberFormat="1" applyFont="1" applyFill="1" applyBorder="1" applyProtection="1">
      <alignment vertical="center"/>
      <protection locked="0"/>
    </xf>
    <xf numFmtId="38" fontId="32" fillId="0" borderId="0" xfId="0" applyNumberFormat="1" applyFont="1" applyAlignment="1" applyProtection="1">
      <alignment horizontal="left" vertical="center"/>
      <protection locked="0"/>
    </xf>
    <xf numFmtId="0" fontId="32" fillId="0" borderId="13" xfId="0" quotePrefix="1" applyFont="1" applyBorder="1" applyAlignment="1" applyProtection="1">
      <alignment horizontal="right" vertical="center"/>
      <protection locked="0"/>
    </xf>
    <xf numFmtId="38" fontId="32" fillId="8" borderId="10" xfId="2" applyFont="1" applyFill="1" applyBorder="1" applyAlignment="1" applyProtection="1">
      <alignment horizontal="left" vertical="center"/>
      <protection locked="0"/>
    </xf>
    <xf numFmtId="0" fontId="32" fillId="8" borderId="10" xfId="0" applyFont="1" applyFill="1" applyBorder="1" applyAlignment="1" applyProtection="1">
      <alignment horizontal="left" vertical="center"/>
      <protection locked="0"/>
    </xf>
    <xf numFmtId="38" fontId="32" fillId="8" borderId="46" xfId="2" applyFont="1" applyFill="1" applyBorder="1" applyAlignment="1" applyProtection="1">
      <alignment horizontal="center" vertical="center"/>
      <protection locked="0"/>
    </xf>
    <xf numFmtId="38" fontId="32" fillId="8" borderId="37" xfId="2" applyFont="1" applyFill="1" applyBorder="1" applyAlignment="1" applyProtection="1">
      <alignment horizontal="center" vertical="center"/>
      <protection locked="0"/>
    </xf>
    <xf numFmtId="38" fontId="32" fillId="0" borderId="0" xfId="2" applyFont="1" applyFill="1" applyBorder="1" applyAlignment="1" applyProtection="1">
      <alignment horizontal="center" vertical="center"/>
      <protection locked="0"/>
    </xf>
    <xf numFmtId="0" fontId="73" fillId="0" borderId="0" xfId="0" applyFont="1" applyAlignment="1" applyProtection="1">
      <alignment horizontal="center" vertical="center"/>
      <protection locked="0"/>
    </xf>
    <xf numFmtId="0" fontId="64" fillId="7" borderId="46" xfId="0" applyFont="1" applyFill="1" applyBorder="1" applyAlignment="1" applyProtection="1">
      <alignment horizontal="center" vertical="center"/>
      <protection locked="0"/>
    </xf>
    <xf numFmtId="0" fontId="32" fillId="7" borderId="2" xfId="0" applyFont="1" applyFill="1" applyBorder="1" applyAlignment="1" applyProtection="1">
      <alignment horizontal="center" vertical="center"/>
      <protection locked="0"/>
    </xf>
    <xf numFmtId="0" fontId="32" fillId="8" borderId="5" xfId="0" applyFont="1" applyFill="1" applyBorder="1" applyAlignment="1" applyProtection="1">
      <alignment horizontal="center" vertical="center"/>
      <protection locked="0"/>
    </xf>
    <xf numFmtId="0" fontId="32" fillId="8" borderId="2" xfId="0" applyFont="1" applyFill="1" applyBorder="1" applyAlignment="1" applyProtection="1">
      <alignment horizontal="center" vertical="center"/>
      <protection locked="0"/>
    </xf>
    <xf numFmtId="0" fontId="32" fillId="8" borderId="2" xfId="0" applyFont="1" applyFill="1" applyBorder="1" applyAlignment="1" applyProtection="1">
      <alignment horizontal="center" vertical="center" wrapText="1"/>
      <protection locked="0"/>
    </xf>
    <xf numFmtId="0" fontId="32" fillId="14" borderId="10" xfId="0" applyFont="1" applyFill="1" applyBorder="1" applyAlignment="1" applyProtection="1">
      <alignment horizontal="left" vertical="center"/>
      <protection locked="0"/>
    </xf>
    <xf numFmtId="0" fontId="32" fillId="14" borderId="10" xfId="0" applyFont="1" applyFill="1" applyBorder="1" applyAlignment="1" applyProtection="1">
      <alignment horizontal="left" vertical="center" wrapText="1"/>
      <protection locked="0"/>
    </xf>
    <xf numFmtId="0" fontId="32" fillId="14" borderId="46" xfId="0" applyFont="1" applyFill="1" applyBorder="1" applyAlignment="1" applyProtection="1">
      <alignment vertical="center" wrapText="1"/>
      <protection locked="0"/>
    </xf>
    <xf numFmtId="0" fontId="64" fillId="7" borderId="13" xfId="0" applyFont="1" applyFill="1" applyBorder="1" applyAlignment="1" applyProtection="1">
      <alignment horizontal="center" vertical="center"/>
      <protection locked="0"/>
    </xf>
    <xf numFmtId="0" fontId="32" fillId="8" borderId="3" xfId="0" applyFont="1" applyFill="1" applyBorder="1" applyAlignment="1" applyProtection="1">
      <alignment horizontal="center" vertical="center" wrapText="1"/>
      <protection locked="0"/>
    </xf>
    <xf numFmtId="9" fontId="46" fillId="16" borderId="27" xfId="1" applyFont="1" applyFill="1" applyBorder="1" applyAlignment="1" applyProtection="1">
      <alignment horizontal="center" vertical="center"/>
    </xf>
    <xf numFmtId="0" fontId="55" fillId="0" borderId="0" xfId="0" applyFont="1" applyAlignment="1" applyProtection="1">
      <alignment horizontal="left" vertical="center"/>
      <protection locked="0"/>
    </xf>
    <xf numFmtId="0" fontId="56" fillId="0" borderId="0" xfId="0" applyFont="1" applyProtection="1">
      <alignment vertical="center"/>
      <protection locked="0"/>
    </xf>
    <xf numFmtId="0" fontId="9" fillId="0" borderId="0" xfId="0" applyFont="1" applyProtection="1">
      <alignment vertical="center"/>
      <protection locked="0"/>
    </xf>
    <xf numFmtId="0" fontId="15" fillId="0" borderId="0" xfId="0" applyFont="1" applyProtection="1">
      <alignment vertical="center"/>
      <protection locked="0"/>
    </xf>
    <xf numFmtId="0" fontId="44" fillId="0" borderId="0" xfId="0" applyFont="1" applyProtection="1">
      <alignment vertical="center"/>
      <protection locked="0"/>
    </xf>
    <xf numFmtId="0" fontId="48" fillId="0" borderId="0" xfId="0" applyFont="1" applyProtection="1">
      <alignment vertical="center"/>
      <protection locked="0"/>
    </xf>
    <xf numFmtId="0" fontId="42" fillId="0" borderId="0" xfId="0" applyFont="1" applyAlignment="1" applyProtection="1">
      <alignment horizontal="left" vertical="center"/>
      <protection locked="0"/>
    </xf>
    <xf numFmtId="0" fontId="47" fillId="0" borderId="0" xfId="0" applyFont="1" applyProtection="1">
      <alignment vertical="center"/>
      <protection locked="0"/>
    </xf>
    <xf numFmtId="0" fontId="42" fillId="0" borderId="0" xfId="0" applyFont="1" applyAlignment="1" applyProtection="1">
      <alignment horizontal="center" vertical="center"/>
      <protection locked="0"/>
    </xf>
    <xf numFmtId="0" fontId="4" fillId="6" borderId="27" xfId="0" applyFont="1" applyFill="1" applyBorder="1" applyAlignment="1" applyProtection="1">
      <alignment horizontal="center" vertical="center" wrapText="1"/>
      <protection locked="0"/>
    </xf>
    <xf numFmtId="0" fontId="4" fillId="6" borderId="27" xfId="0" applyFont="1" applyFill="1" applyBorder="1" applyAlignment="1" applyProtection="1">
      <alignment horizontal="center" vertical="center"/>
      <protection locked="0"/>
    </xf>
    <xf numFmtId="0" fontId="2" fillId="0" borderId="0" xfId="0" applyFont="1" applyAlignment="1" applyProtection="1">
      <alignment horizontal="center" vertical="top"/>
      <protection locked="0"/>
    </xf>
    <xf numFmtId="177" fontId="11" fillId="0" borderId="0" xfId="1" applyNumberFormat="1" applyFont="1" applyFill="1" applyBorder="1" applyAlignment="1" applyProtection="1">
      <alignment vertical="center"/>
      <protection locked="0"/>
    </xf>
    <xf numFmtId="0" fontId="8" fillId="0" borderId="0" xfId="0" applyFont="1" applyAlignment="1" applyProtection="1">
      <alignment vertical="top"/>
      <protection locked="0"/>
    </xf>
    <xf numFmtId="0" fontId="41" fillId="0" borderId="0" xfId="0" applyFont="1" applyProtection="1">
      <alignment vertical="center"/>
      <protection locked="0"/>
    </xf>
    <xf numFmtId="0" fontId="50" fillId="0" borderId="0" xfId="3" applyFont="1" applyFill="1" applyProtection="1">
      <alignment vertical="center"/>
      <protection locked="0"/>
    </xf>
    <xf numFmtId="0" fontId="21" fillId="0" borderId="0" xfId="0" applyFont="1" applyAlignment="1" applyProtection="1">
      <alignment horizontal="center" vertical="center"/>
      <protection locked="0"/>
    </xf>
    <xf numFmtId="0" fontId="8" fillId="0" borderId="0" xfId="0" applyFont="1" applyAlignment="1" applyProtection="1">
      <alignment horizontal="center" vertical="center"/>
      <protection locked="0"/>
    </xf>
    <xf numFmtId="0" fontId="14" fillId="0" borderId="0" xfId="0" applyFont="1" applyProtection="1">
      <alignment vertical="center"/>
      <protection locked="0"/>
    </xf>
    <xf numFmtId="10" fontId="25" fillId="0" borderId="66" xfId="0" applyNumberFormat="1" applyFont="1" applyBorder="1" applyAlignment="1" applyProtection="1">
      <alignment horizontal="center" vertical="center"/>
      <protection locked="0"/>
    </xf>
    <xf numFmtId="10" fontId="25" fillId="0" borderId="36" xfId="0" applyNumberFormat="1" applyFont="1" applyBorder="1" applyAlignment="1" applyProtection="1">
      <alignment horizontal="center" vertical="center"/>
      <protection locked="0"/>
    </xf>
    <xf numFmtId="184" fontId="42" fillId="0" borderId="0" xfId="0" applyNumberFormat="1" applyFont="1" applyProtection="1">
      <alignment vertical="center"/>
      <protection locked="0"/>
    </xf>
    <xf numFmtId="184" fontId="42" fillId="0" borderId="0" xfId="0" applyNumberFormat="1" applyFont="1" applyAlignment="1" applyProtection="1">
      <alignment horizontal="right" vertical="center"/>
      <protection locked="0"/>
    </xf>
    <xf numFmtId="0" fontId="24" fillId="0" borderId="0" xfId="0" applyFont="1" applyAlignment="1" applyProtection="1">
      <alignment horizontal="center" vertical="center"/>
      <protection locked="0"/>
    </xf>
    <xf numFmtId="0" fontId="42" fillId="6" borderId="27" xfId="0" applyFont="1" applyFill="1" applyBorder="1" applyAlignment="1" applyProtection="1">
      <alignment horizontal="center" vertical="center"/>
      <protection locked="0"/>
    </xf>
    <xf numFmtId="0" fontId="42" fillId="6" borderId="71" xfId="0" applyFont="1" applyFill="1" applyBorder="1" applyAlignment="1" applyProtection="1">
      <alignment horizontal="center" vertical="center"/>
      <protection locked="0"/>
    </xf>
    <xf numFmtId="0" fontId="42" fillId="6" borderId="52" xfId="0" applyFont="1" applyFill="1" applyBorder="1" applyAlignment="1" applyProtection="1">
      <alignment horizontal="center" vertical="center"/>
      <protection locked="0"/>
    </xf>
    <xf numFmtId="0" fontId="42" fillId="22" borderId="27" xfId="0" applyFont="1" applyFill="1" applyBorder="1" applyAlignment="1" applyProtection="1">
      <alignment horizontal="center" vertical="center"/>
      <protection locked="0"/>
    </xf>
    <xf numFmtId="0" fontId="0" fillId="16" borderId="41" xfId="0" applyFill="1" applyBorder="1" applyAlignment="1" applyProtection="1">
      <alignment horizontal="center" vertical="center"/>
      <protection locked="0"/>
    </xf>
    <xf numFmtId="0" fontId="26" fillId="0" borderId="43" xfId="0" applyFont="1" applyBorder="1" applyAlignment="1" applyProtection="1">
      <alignment horizontal="center" vertical="center"/>
      <protection locked="0"/>
    </xf>
    <xf numFmtId="38" fontId="26" fillId="0" borderId="41" xfId="2" applyFont="1" applyBorder="1" applyProtection="1">
      <alignment vertical="center"/>
      <protection locked="0"/>
    </xf>
    <xf numFmtId="38" fontId="26" fillId="0" borderId="44" xfId="2" applyFont="1" applyBorder="1" applyProtection="1">
      <alignment vertical="center"/>
      <protection locked="0"/>
    </xf>
    <xf numFmtId="9" fontId="26" fillId="0" borderId="45" xfId="1" applyFont="1" applyBorder="1" applyAlignment="1" applyProtection="1">
      <alignment horizontal="center" vertical="center"/>
      <protection locked="0"/>
    </xf>
    <xf numFmtId="9" fontId="26" fillId="0" borderId="43" xfId="1" applyFont="1" applyBorder="1" applyAlignment="1" applyProtection="1">
      <alignment horizontal="center" vertical="center"/>
      <protection locked="0"/>
    </xf>
    <xf numFmtId="38" fontId="60" fillId="0" borderId="66" xfId="2" applyFont="1" applyFill="1" applyBorder="1" applyAlignment="1" applyProtection="1">
      <alignment horizontal="center" vertical="center"/>
      <protection locked="0"/>
    </xf>
    <xf numFmtId="10" fontId="18" fillId="0" borderId="66" xfId="0" applyNumberFormat="1" applyFont="1" applyBorder="1" applyAlignment="1" applyProtection="1">
      <alignment horizontal="center" vertical="center"/>
      <protection locked="0"/>
    </xf>
    <xf numFmtId="38" fontId="58" fillId="0" borderId="66" xfId="2" applyFont="1" applyFill="1" applyBorder="1" applyAlignment="1" applyProtection="1">
      <alignment horizontal="center" vertical="center"/>
      <protection locked="0"/>
    </xf>
    <xf numFmtId="38" fontId="58" fillId="0" borderId="27" xfId="2" applyFont="1" applyFill="1" applyBorder="1" applyAlignment="1" applyProtection="1">
      <alignment horizontal="center" vertical="center"/>
      <protection locked="0"/>
    </xf>
    <xf numFmtId="9" fontId="25" fillId="0" borderId="27" xfId="1" applyFont="1" applyBorder="1" applyAlignment="1" applyProtection="1">
      <alignment horizontal="center" vertical="center"/>
      <protection locked="0"/>
    </xf>
    <xf numFmtId="38" fontId="25" fillId="0" borderId="0" xfId="2" applyFont="1" applyBorder="1" applyProtection="1">
      <alignment vertical="center"/>
      <protection locked="0"/>
    </xf>
    <xf numFmtId="0" fontId="25" fillId="0" borderId="0" xfId="0" applyFont="1" applyAlignment="1" applyProtection="1">
      <alignment horizontal="center" vertical="center"/>
      <protection locked="0"/>
    </xf>
    <xf numFmtId="0" fontId="46" fillId="16" borderId="27" xfId="0" applyFont="1" applyFill="1" applyBorder="1" applyAlignment="1">
      <alignment horizontal="right" vertical="center"/>
    </xf>
    <xf numFmtId="0" fontId="101" fillId="25" borderId="0" xfId="0" applyFont="1" applyFill="1">
      <alignment vertical="center"/>
    </xf>
    <xf numFmtId="0" fontId="19" fillId="25" borderId="0" xfId="0" applyFont="1" applyFill="1">
      <alignment vertical="center"/>
    </xf>
    <xf numFmtId="0" fontId="28" fillId="25" borderId="0" xfId="0" applyFont="1" applyFill="1">
      <alignment vertical="center"/>
    </xf>
    <xf numFmtId="0" fontId="20" fillId="21" borderId="3" xfId="0" applyFont="1" applyFill="1" applyBorder="1" applyAlignment="1">
      <alignment horizontal="center" vertical="center"/>
    </xf>
    <xf numFmtId="0" fontId="90" fillId="11" borderId="2" xfId="0" applyFont="1" applyFill="1" applyBorder="1" applyAlignment="1">
      <alignment horizontal="center" vertical="center"/>
    </xf>
    <xf numFmtId="0" fontId="20" fillId="21" borderId="9" xfId="0" applyFont="1" applyFill="1" applyBorder="1" applyAlignment="1">
      <alignment horizontal="center" vertical="center" wrapText="1"/>
    </xf>
    <xf numFmtId="0" fontId="28" fillId="7" borderId="2" xfId="0" applyFont="1" applyFill="1" applyBorder="1" applyAlignment="1">
      <alignment horizontal="center" vertical="center" wrapText="1"/>
    </xf>
    <xf numFmtId="0" fontId="20" fillId="7" borderId="2" xfId="0" applyFont="1" applyFill="1" applyBorder="1" applyAlignment="1">
      <alignment horizontal="center" vertical="center"/>
    </xf>
    <xf numFmtId="0" fontId="28" fillId="16" borderId="9" xfId="0" applyFont="1" applyFill="1" applyBorder="1" applyAlignment="1">
      <alignment horizontal="center" vertical="center"/>
    </xf>
    <xf numFmtId="0" fontId="5" fillId="7" borderId="2" xfId="0" applyFont="1" applyFill="1" applyBorder="1" applyAlignment="1">
      <alignment horizontal="center" vertical="center"/>
    </xf>
    <xf numFmtId="0" fontId="24" fillId="7" borderId="2" xfId="0" applyFont="1" applyFill="1" applyBorder="1" applyAlignment="1">
      <alignment horizontal="center" vertical="center"/>
    </xf>
    <xf numFmtId="38" fontId="42" fillId="6" borderId="2" xfId="2" applyFont="1" applyFill="1" applyBorder="1" applyAlignment="1" applyProtection="1">
      <alignment horizontal="center" vertical="center"/>
    </xf>
    <xf numFmtId="0" fontId="98" fillId="16" borderId="0" xfId="0" applyFont="1" applyFill="1" applyProtection="1">
      <alignment vertical="center"/>
      <protection hidden="1"/>
    </xf>
    <xf numFmtId="0" fontId="24" fillId="7" borderId="71" xfId="0" applyFont="1" applyFill="1" applyBorder="1" applyAlignment="1" applyProtection="1">
      <alignment horizontal="center" vertical="center"/>
      <protection hidden="1"/>
    </xf>
    <xf numFmtId="0" fontId="24" fillId="7" borderId="66" xfId="0" applyFont="1" applyFill="1" applyBorder="1" applyAlignment="1" applyProtection="1">
      <alignment horizontal="center" vertical="center"/>
      <protection hidden="1"/>
    </xf>
    <xf numFmtId="38" fontId="61" fillId="7" borderId="2" xfId="2" applyFont="1" applyFill="1" applyBorder="1" applyAlignment="1" applyProtection="1">
      <alignment horizontal="center" vertical="center"/>
      <protection hidden="1"/>
    </xf>
    <xf numFmtId="38" fontId="59" fillId="6" borderId="2" xfId="2" applyFont="1" applyFill="1" applyBorder="1" applyAlignment="1" applyProtection="1">
      <alignment horizontal="center" vertical="center"/>
      <protection hidden="1"/>
    </xf>
    <xf numFmtId="0" fontId="24" fillId="7" borderId="27" xfId="0" applyFont="1" applyFill="1" applyBorder="1" applyAlignment="1" applyProtection="1">
      <alignment horizontal="center" vertical="center"/>
      <protection hidden="1"/>
    </xf>
    <xf numFmtId="38" fontId="20" fillId="6" borderId="41" xfId="2" applyFont="1" applyFill="1" applyBorder="1" applyAlignment="1" applyProtection="1">
      <alignment horizontal="center" vertical="center"/>
      <protection hidden="1"/>
    </xf>
    <xf numFmtId="38" fontId="20" fillId="6" borderId="44" xfId="2" applyFont="1" applyFill="1" applyBorder="1" applyAlignment="1" applyProtection="1">
      <alignment horizontal="center" vertical="center"/>
      <protection hidden="1"/>
    </xf>
    <xf numFmtId="9" fontId="20" fillId="6" borderId="41" xfId="1" applyFont="1" applyFill="1" applyBorder="1" applyAlignment="1" applyProtection="1">
      <alignment horizontal="center" vertical="center"/>
      <protection hidden="1"/>
    </xf>
    <xf numFmtId="9" fontId="20" fillId="6" borderId="43" xfId="1" applyFont="1" applyFill="1" applyBorder="1" applyAlignment="1" applyProtection="1">
      <alignment horizontal="center" vertical="center"/>
      <protection hidden="1"/>
    </xf>
    <xf numFmtId="0" fontId="4" fillId="0" borderId="0" xfId="0" applyFont="1" applyProtection="1">
      <alignment vertical="center"/>
      <protection hidden="1"/>
    </xf>
    <xf numFmtId="0" fontId="24" fillId="6" borderId="3" xfId="0" applyFont="1" applyFill="1" applyBorder="1" applyAlignment="1" applyProtection="1">
      <alignment horizontal="center" vertical="center"/>
      <protection hidden="1"/>
    </xf>
    <xf numFmtId="0" fontId="28" fillId="6" borderId="2" xfId="0" applyFont="1" applyFill="1" applyBorder="1" applyAlignment="1" applyProtection="1">
      <alignment horizontal="center" vertical="center"/>
      <protection hidden="1"/>
    </xf>
    <xf numFmtId="38" fontId="24" fillId="0" borderId="3" xfId="2" applyFont="1" applyBorder="1" applyProtection="1">
      <alignment vertical="center"/>
      <protection hidden="1"/>
    </xf>
    <xf numFmtId="0" fontId="63" fillId="0" borderId="57" xfId="0" applyFont="1" applyBorder="1" applyAlignment="1" applyProtection="1">
      <alignment horizontal="center" vertical="center"/>
      <protection hidden="1"/>
    </xf>
    <xf numFmtId="0" fontId="33" fillId="0" borderId="57" xfId="0" applyFont="1" applyBorder="1" applyAlignment="1" applyProtection="1">
      <alignment horizontal="center" vertical="center"/>
      <protection hidden="1"/>
    </xf>
    <xf numFmtId="0" fontId="34" fillId="0" borderId="57" xfId="0" applyFont="1" applyBorder="1" applyAlignment="1" applyProtection="1">
      <alignment horizontal="center" vertical="center"/>
      <protection hidden="1"/>
    </xf>
    <xf numFmtId="0" fontId="34" fillId="0" borderId="57" xfId="0" applyFont="1" applyBorder="1" applyAlignment="1" applyProtection="1">
      <alignment horizontal="center" wrapText="1"/>
      <protection hidden="1"/>
    </xf>
    <xf numFmtId="183" fontId="34" fillId="0" borderId="57" xfId="0" applyNumberFormat="1" applyFont="1" applyBorder="1" applyAlignment="1" applyProtection="1">
      <alignment horizontal="center" wrapText="1"/>
      <protection hidden="1"/>
    </xf>
    <xf numFmtId="38" fontId="34" fillId="0" borderId="57" xfId="2" applyFont="1" applyFill="1" applyBorder="1" applyAlignment="1" applyProtection="1">
      <alignment horizontal="center" vertical="center"/>
      <protection hidden="1"/>
    </xf>
    <xf numFmtId="38" fontId="34" fillId="0" borderId="57" xfId="2" applyFont="1" applyFill="1" applyBorder="1" applyAlignment="1" applyProtection="1">
      <alignment horizontal="center"/>
      <protection hidden="1"/>
    </xf>
    <xf numFmtId="38" fontId="34" fillId="0" borderId="57" xfId="2" applyFont="1" applyFill="1" applyBorder="1" applyAlignment="1" applyProtection="1">
      <alignment horizontal="right" vertical="center"/>
      <protection hidden="1"/>
    </xf>
    <xf numFmtId="38" fontId="34" fillId="0" borderId="74" xfId="2" applyFont="1" applyFill="1" applyBorder="1" applyAlignment="1" applyProtection="1">
      <alignment horizontal="center" vertical="center"/>
      <protection hidden="1"/>
    </xf>
    <xf numFmtId="0" fontId="35" fillId="0" borderId="0" xfId="0" applyFont="1" applyAlignment="1" applyProtection="1">
      <alignment horizontal="left" vertical="center"/>
      <protection hidden="1"/>
    </xf>
    <xf numFmtId="0" fontId="69" fillId="7" borderId="2" xfId="0" applyFont="1" applyFill="1" applyBorder="1" applyAlignment="1" applyProtection="1">
      <alignment horizontal="center" vertical="center" wrapText="1"/>
      <protection locked="0"/>
    </xf>
    <xf numFmtId="38" fontId="69" fillId="0" borderId="57" xfId="2" applyFont="1" applyFill="1" applyBorder="1" applyAlignment="1" applyProtection="1">
      <alignment horizontal="right" vertical="center"/>
      <protection hidden="1"/>
    </xf>
    <xf numFmtId="38" fontId="104" fillId="0" borderId="58" xfId="2" applyFont="1" applyFill="1" applyBorder="1" applyAlignment="1" applyProtection="1">
      <alignment horizontal="right" vertical="center"/>
      <protection locked="0"/>
    </xf>
    <xf numFmtId="0" fontId="20" fillId="7" borderId="48" xfId="0" applyFont="1" applyFill="1" applyBorder="1" applyAlignment="1" applyProtection="1">
      <alignment horizontal="center" vertical="center"/>
      <protection hidden="1"/>
    </xf>
    <xf numFmtId="0" fontId="20" fillId="6" borderId="2" xfId="0" applyFont="1" applyFill="1" applyBorder="1" applyAlignment="1" applyProtection="1">
      <alignment horizontal="center" vertical="center"/>
      <protection hidden="1"/>
    </xf>
    <xf numFmtId="0" fontId="69" fillId="0" borderId="0" xfId="0" applyFont="1" applyAlignment="1" applyProtection="1">
      <alignment horizontal="center" vertical="center"/>
      <protection locked="0"/>
    </xf>
    <xf numFmtId="38" fontId="69" fillId="0" borderId="58" xfId="2" applyFont="1" applyFill="1" applyBorder="1" applyAlignment="1" applyProtection="1">
      <alignment horizontal="right" vertical="center"/>
      <protection hidden="1"/>
    </xf>
    <xf numFmtId="38" fontId="69" fillId="8" borderId="79" xfId="2" applyFont="1" applyFill="1" applyBorder="1" applyAlignment="1" applyProtection="1">
      <alignment horizontal="right" vertical="center"/>
      <protection hidden="1"/>
    </xf>
    <xf numFmtId="38" fontId="69" fillId="8" borderId="80" xfId="2" applyFont="1" applyFill="1" applyBorder="1" applyAlignment="1" applyProtection="1">
      <alignment horizontal="right" vertical="center"/>
      <protection hidden="1"/>
    </xf>
    <xf numFmtId="38" fontId="34" fillId="0" borderId="81" xfId="2" applyFont="1" applyFill="1" applyBorder="1" applyAlignment="1" applyProtection="1">
      <alignment horizontal="center" vertical="center"/>
      <protection hidden="1"/>
    </xf>
    <xf numFmtId="38" fontId="34" fillId="0" borderId="82" xfId="2" applyFont="1" applyFill="1" applyBorder="1" applyAlignment="1" applyProtection="1">
      <alignment horizontal="center" vertical="center"/>
      <protection hidden="1"/>
    </xf>
    <xf numFmtId="38" fontId="34" fillId="0" borderId="83" xfId="2" applyFont="1" applyFill="1" applyBorder="1" applyAlignment="1" applyProtection="1">
      <alignment horizontal="center" vertical="center"/>
      <protection locked="0"/>
    </xf>
    <xf numFmtId="38" fontId="34" fillId="0" borderId="84" xfId="2" applyFont="1" applyFill="1" applyBorder="1" applyAlignment="1" applyProtection="1">
      <alignment horizontal="center" vertical="center"/>
      <protection hidden="1"/>
    </xf>
    <xf numFmtId="38" fontId="34" fillId="0" borderId="85" xfId="2" applyFont="1" applyFill="1" applyBorder="1" applyAlignment="1" applyProtection="1">
      <alignment horizontal="center" vertical="center"/>
      <protection locked="0"/>
    </xf>
    <xf numFmtId="38" fontId="34" fillId="0" borderId="86" xfId="2" applyFont="1" applyFill="1" applyBorder="1" applyAlignment="1" applyProtection="1">
      <alignment horizontal="center" vertical="center"/>
      <protection hidden="1"/>
    </xf>
    <xf numFmtId="38" fontId="34" fillId="0" borderId="85" xfId="2" applyFont="1" applyFill="1" applyBorder="1" applyAlignment="1" applyProtection="1">
      <alignment horizontal="center" vertical="center"/>
      <protection hidden="1"/>
    </xf>
    <xf numFmtId="38" fontId="34" fillId="0" borderId="87" xfId="2" applyFont="1" applyFill="1" applyBorder="1" applyAlignment="1" applyProtection="1">
      <alignment horizontal="center" vertical="center"/>
      <protection hidden="1"/>
    </xf>
    <xf numFmtId="38" fontId="34" fillId="0" borderId="88" xfId="2" applyFont="1" applyFill="1" applyBorder="1" applyAlignment="1" applyProtection="1">
      <alignment horizontal="center" vertical="center"/>
      <protection hidden="1"/>
    </xf>
    <xf numFmtId="38" fontId="34" fillId="0" borderId="89" xfId="2" applyFont="1" applyFill="1" applyBorder="1" applyAlignment="1" applyProtection="1">
      <alignment horizontal="center" vertical="center"/>
      <protection hidden="1"/>
    </xf>
    <xf numFmtId="38" fontId="34" fillId="0" borderId="90" xfId="2" applyFont="1" applyFill="1" applyBorder="1" applyAlignment="1" applyProtection="1">
      <alignment horizontal="center" vertical="center"/>
      <protection hidden="1"/>
    </xf>
    <xf numFmtId="38" fontId="34" fillId="0" borderId="91" xfId="2" applyFont="1" applyFill="1" applyBorder="1" applyAlignment="1" applyProtection="1">
      <alignment horizontal="center" vertical="center"/>
      <protection hidden="1"/>
    </xf>
    <xf numFmtId="38" fontId="34" fillId="0" borderId="92" xfId="2" applyFont="1" applyFill="1" applyBorder="1" applyAlignment="1" applyProtection="1">
      <alignment horizontal="center" vertical="center"/>
      <protection hidden="1"/>
    </xf>
    <xf numFmtId="38" fontId="34" fillId="0" borderId="93" xfId="2" applyFont="1" applyFill="1" applyBorder="1" applyAlignment="1" applyProtection="1">
      <alignment horizontal="center" vertical="center"/>
      <protection hidden="1"/>
    </xf>
    <xf numFmtId="182" fontId="24" fillId="6" borderId="12" xfId="0" applyNumberFormat="1" applyFont="1" applyFill="1" applyBorder="1" applyProtection="1">
      <alignment vertical="center"/>
      <protection hidden="1"/>
    </xf>
    <xf numFmtId="38" fontId="24" fillId="18" borderId="62" xfId="2" applyFont="1" applyFill="1" applyBorder="1" applyProtection="1">
      <alignment vertical="center"/>
      <protection hidden="1"/>
    </xf>
    <xf numFmtId="0" fontId="28" fillId="17" borderId="27" xfId="0" applyFont="1" applyFill="1" applyBorder="1" applyAlignment="1" applyProtection="1">
      <alignment horizontal="center" vertical="center" wrapText="1"/>
      <protection hidden="1"/>
    </xf>
    <xf numFmtId="38" fontId="24" fillId="6" borderId="32" xfId="0" applyNumberFormat="1" applyFont="1" applyFill="1" applyBorder="1" applyProtection="1">
      <alignment vertical="center"/>
      <protection hidden="1"/>
    </xf>
    <xf numFmtId="0" fontId="12" fillId="8" borderId="27" xfId="0" applyFont="1" applyFill="1" applyBorder="1" applyAlignment="1" applyProtection="1">
      <alignment horizontal="center" vertical="center" wrapText="1"/>
      <protection hidden="1"/>
    </xf>
    <xf numFmtId="38" fontId="24" fillId="6" borderId="33" xfId="0" applyNumberFormat="1" applyFont="1" applyFill="1" applyBorder="1" applyProtection="1">
      <alignment vertical="center"/>
      <protection hidden="1"/>
    </xf>
    <xf numFmtId="38" fontId="24" fillId="6" borderId="62" xfId="2" applyFont="1" applyFill="1" applyBorder="1" applyProtection="1">
      <alignment vertical="center"/>
      <protection hidden="1"/>
    </xf>
    <xf numFmtId="0" fontId="28" fillId="10" borderId="15" xfId="0" applyFont="1" applyFill="1" applyBorder="1" applyAlignment="1" applyProtection="1">
      <alignment horizontal="center" vertical="center" wrapText="1"/>
      <protection hidden="1"/>
    </xf>
    <xf numFmtId="0" fontId="43" fillId="0" borderId="0" xfId="0" applyFont="1" applyAlignment="1" applyProtection="1">
      <alignment horizontal="left" vertical="center"/>
      <protection hidden="1"/>
    </xf>
    <xf numFmtId="0" fontId="28" fillId="8" borderId="24" xfId="0" applyFont="1" applyFill="1" applyBorder="1" applyAlignment="1" applyProtection="1">
      <alignment horizontal="center" vertical="center" wrapText="1"/>
      <protection hidden="1"/>
    </xf>
    <xf numFmtId="0" fontId="28" fillId="8" borderId="65" xfId="0" applyFont="1" applyFill="1" applyBorder="1" applyAlignment="1" applyProtection="1">
      <alignment horizontal="center" vertical="center" wrapText="1"/>
      <protection hidden="1"/>
    </xf>
    <xf numFmtId="38" fontId="5" fillId="0" borderId="2" xfId="2" applyFont="1" applyBorder="1" applyAlignment="1" applyProtection="1">
      <alignment horizontal="center" vertical="center"/>
      <protection hidden="1"/>
    </xf>
    <xf numFmtId="0" fontId="28" fillId="14" borderId="2" xfId="0" applyFont="1" applyFill="1" applyBorder="1" applyProtection="1">
      <alignment vertical="center"/>
      <protection hidden="1"/>
    </xf>
    <xf numFmtId="38" fontId="38" fillId="6" borderId="2" xfId="2" applyFont="1" applyFill="1" applyBorder="1" applyAlignment="1" applyProtection="1">
      <alignment horizontal="center" vertical="center"/>
      <protection hidden="1"/>
    </xf>
    <xf numFmtId="38" fontId="24" fillId="0" borderId="2" xfId="2" applyFont="1" applyBorder="1" applyProtection="1">
      <alignment vertical="center"/>
      <protection hidden="1"/>
    </xf>
    <xf numFmtId="0" fontId="106" fillId="16" borderId="70" xfId="0" applyFont="1" applyFill="1" applyBorder="1" applyAlignment="1" applyProtection="1">
      <alignment horizontal="center" vertical="center"/>
      <protection hidden="1"/>
    </xf>
    <xf numFmtId="0" fontId="20" fillId="6" borderId="27" xfId="0" applyFont="1" applyFill="1" applyBorder="1" applyAlignment="1" applyProtection="1">
      <alignment horizontal="center" vertical="center"/>
      <protection hidden="1"/>
    </xf>
    <xf numFmtId="0" fontId="8" fillId="0" borderId="0" xfId="0" applyFont="1" applyAlignment="1" applyProtection="1">
      <alignment vertical="center" wrapText="1"/>
      <protection hidden="1"/>
    </xf>
    <xf numFmtId="0" fontId="107" fillId="14" borderId="2" xfId="0" applyFont="1" applyFill="1" applyBorder="1" applyAlignment="1" applyProtection="1">
      <alignment horizontal="center" vertical="center"/>
      <protection hidden="1"/>
    </xf>
    <xf numFmtId="38" fontId="107" fillId="0" borderId="1" xfId="2" applyFont="1" applyBorder="1" applyAlignment="1" applyProtection="1">
      <alignment horizontal="center" vertical="center"/>
      <protection hidden="1"/>
    </xf>
    <xf numFmtId="0" fontId="106" fillId="16" borderId="72" xfId="0" applyFont="1" applyFill="1" applyBorder="1" applyAlignment="1" applyProtection="1">
      <alignment horizontal="center" vertical="center"/>
      <protection hidden="1"/>
    </xf>
    <xf numFmtId="0" fontId="12" fillId="0" borderId="12" xfId="0" applyFont="1" applyBorder="1" applyAlignment="1" applyProtection="1">
      <alignment horizontal="center" vertical="center" wrapText="1"/>
      <protection hidden="1"/>
    </xf>
    <xf numFmtId="0" fontId="28" fillId="0" borderId="12" xfId="0" applyFont="1" applyBorder="1" applyAlignment="1" applyProtection="1">
      <alignment horizontal="center" vertical="center" wrapText="1"/>
      <protection hidden="1"/>
    </xf>
    <xf numFmtId="0" fontId="19" fillId="0" borderId="12" xfId="0" applyFont="1" applyBorder="1" applyAlignment="1" applyProtection="1">
      <alignment horizontal="center" vertical="center" wrapText="1"/>
      <protection hidden="1"/>
    </xf>
    <xf numFmtId="0" fontId="5" fillId="0" borderId="12" xfId="0" applyFont="1" applyBorder="1" applyAlignment="1" applyProtection="1">
      <alignment horizontal="center" vertical="center" wrapText="1"/>
      <protection hidden="1"/>
    </xf>
    <xf numFmtId="0" fontId="42" fillId="0" borderId="12" xfId="0" applyFont="1" applyBorder="1" applyAlignment="1" applyProtection="1">
      <alignment horizontal="center" vertical="center" wrapText="1"/>
      <protection hidden="1"/>
    </xf>
    <xf numFmtId="0" fontId="100" fillId="0" borderId="15" xfId="0" applyFont="1" applyBorder="1" applyProtection="1">
      <alignment vertical="center"/>
      <protection hidden="1"/>
    </xf>
    <xf numFmtId="0" fontId="100" fillId="0" borderId="1" xfId="0" applyFont="1" applyBorder="1" applyProtection="1">
      <alignment vertical="center"/>
      <protection hidden="1"/>
    </xf>
    <xf numFmtId="0" fontId="111" fillId="0" borderId="6" xfId="0" applyFont="1" applyBorder="1" applyAlignment="1" applyProtection="1">
      <alignment horizontal="center" vertical="center"/>
      <protection hidden="1"/>
    </xf>
    <xf numFmtId="0" fontId="42" fillId="0" borderId="32" xfId="0" applyFont="1" applyBorder="1" applyAlignment="1" applyProtection="1">
      <alignment horizontal="center" vertical="center" wrapText="1"/>
      <protection hidden="1"/>
    </xf>
    <xf numFmtId="0" fontId="24" fillId="0" borderId="32" xfId="0" applyFont="1" applyBorder="1" applyAlignment="1" applyProtection="1">
      <alignment horizontal="center" vertical="center"/>
      <protection hidden="1"/>
    </xf>
    <xf numFmtId="0" fontId="0" fillId="0" borderId="17" xfId="0" applyBorder="1" applyProtection="1">
      <alignment vertical="center"/>
      <protection hidden="1"/>
    </xf>
    <xf numFmtId="0" fontId="0" fillId="0" borderId="18" xfId="0" applyBorder="1" applyProtection="1">
      <alignment vertical="center"/>
      <protection hidden="1"/>
    </xf>
    <xf numFmtId="0" fontId="58" fillId="0" borderId="0" xfId="0" applyFont="1" applyAlignment="1" applyProtection="1">
      <alignment horizontal="center" vertical="center"/>
      <protection hidden="1"/>
    </xf>
    <xf numFmtId="0" fontId="108" fillId="0" borderId="0" xfId="0" applyFont="1" applyProtection="1">
      <alignment vertical="center"/>
      <protection hidden="1"/>
    </xf>
    <xf numFmtId="0" fontId="108" fillId="0" borderId="0" xfId="0" applyFont="1" applyAlignment="1" applyProtection="1">
      <alignment vertical="center" wrapText="1"/>
      <protection hidden="1"/>
    </xf>
    <xf numFmtId="0" fontId="54" fillId="0" borderId="0" xfId="0" applyFont="1" applyAlignment="1" applyProtection="1">
      <alignment vertical="center" wrapText="1"/>
      <protection hidden="1"/>
    </xf>
    <xf numFmtId="38" fontId="5" fillId="0" borderId="0" xfId="2" applyFont="1" applyFill="1" applyBorder="1" applyAlignment="1" applyProtection="1">
      <alignment horizontal="center" vertical="center"/>
      <protection hidden="1"/>
    </xf>
    <xf numFmtId="0" fontId="28" fillId="0" borderId="0" xfId="0" applyFont="1" applyAlignment="1" applyProtection="1">
      <alignment horizontal="center" vertical="center"/>
      <protection hidden="1"/>
    </xf>
    <xf numFmtId="38" fontId="107" fillId="0" borderId="15" xfId="2" applyFont="1" applyBorder="1" applyAlignment="1" applyProtection="1">
      <alignment horizontal="center" vertical="center"/>
      <protection hidden="1"/>
    </xf>
    <xf numFmtId="0" fontId="107" fillId="0" borderId="16" xfId="0" applyFont="1" applyBorder="1" applyAlignment="1" applyProtection="1">
      <alignment horizontal="center" vertical="center"/>
      <protection hidden="1"/>
    </xf>
    <xf numFmtId="0" fontId="107" fillId="15" borderId="2" xfId="0" applyFont="1" applyFill="1" applyBorder="1" applyAlignment="1" applyProtection="1">
      <alignment horizontal="center" vertical="center"/>
      <protection hidden="1"/>
    </xf>
    <xf numFmtId="0" fontId="107" fillId="13" borderId="2" xfId="0" applyFont="1" applyFill="1" applyBorder="1" applyAlignment="1" applyProtection="1">
      <alignment horizontal="center" vertical="center"/>
      <protection hidden="1"/>
    </xf>
    <xf numFmtId="38" fontId="107" fillId="0" borderId="6" xfId="2" applyFont="1" applyBorder="1" applyAlignment="1" applyProtection="1">
      <alignment horizontal="center" vertical="center"/>
      <protection hidden="1"/>
    </xf>
    <xf numFmtId="0" fontId="107" fillId="8" borderId="7" xfId="0" applyFont="1" applyFill="1" applyBorder="1" applyAlignment="1" applyProtection="1">
      <alignment horizontal="center" vertical="center"/>
      <protection hidden="1"/>
    </xf>
    <xf numFmtId="0" fontId="14" fillId="0" borderId="2" xfId="0" applyFont="1" applyBorder="1" applyProtection="1">
      <alignment vertical="center"/>
      <protection hidden="1"/>
    </xf>
    <xf numFmtId="0" fontId="97" fillId="0" borderId="48" xfId="0" applyFont="1" applyBorder="1" applyProtection="1">
      <alignment vertical="center"/>
      <protection hidden="1"/>
    </xf>
    <xf numFmtId="0" fontId="97" fillId="0" borderId="3" xfId="0" applyFont="1" applyBorder="1" applyProtection="1">
      <alignment vertical="center"/>
      <protection hidden="1"/>
    </xf>
    <xf numFmtId="0" fontId="111" fillId="0" borderId="8" xfId="0" applyFont="1" applyBorder="1" applyAlignment="1" applyProtection="1">
      <alignment horizontal="center" vertical="center"/>
      <protection hidden="1"/>
    </xf>
    <xf numFmtId="0" fontId="0" fillId="0" borderId="11" xfId="0" applyBorder="1" applyProtection="1">
      <alignment vertical="center"/>
      <protection hidden="1"/>
    </xf>
    <xf numFmtId="0" fontId="109" fillId="0" borderId="27" xfId="0" applyFont="1" applyBorder="1" applyAlignment="1" applyProtection="1">
      <alignment horizontal="left" vertical="center" wrapText="1"/>
      <protection hidden="1"/>
    </xf>
    <xf numFmtId="0" fontId="109" fillId="0" borderId="102" xfId="0" applyFont="1" applyBorder="1" applyAlignment="1" applyProtection="1">
      <alignment horizontal="left" vertical="center" wrapText="1"/>
      <protection hidden="1"/>
    </xf>
    <xf numFmtId="0" fontId="100" fillId="0" borderId="0" xfId="0" applyFont="1" applyProtection="1">
      <alignment vertical="center"/>
      <protection hidden="1"/>
    </xf>
    <xf numFmtId="0" fontId="20" fillId="0" borderId="2" xfId="0" applyFont="1" applyBorder="1" applyAlignment="1" applyProtection="1">
      <alignment horizontal="center" vertical="center"/>
      <protection hidden="1"/>
    </xf>
    <xf numFmtId="38" fontId="37" fillId="0" borderId="66" xfId="0" applyNumberFormat="1" applyFont="1" applyBorder="1" applyAlignment="1" applyProtection="1">
      <alignment horizontal="center" vertical="center"/>
      <protection hidden="1"/>
    </xf>
    <xf numFmtId="38" fontId="24" fillId="0" borderId="66" xfId="0" applyNumberFormat="1" applyFont="1" applyBorder="1" applyAlignment="1" applyProtection="1">
      <alignment horizontal="center" vertical="center"/>
      <protection hidden="1"/>
    </xf>
    <xf numFmtId="38" fontId="24" fillId="0" borderId="32" xfId="0" applyNumberFormat="1" applyFont="1" applyBorder="1" applyProtection="1">
      <alignment vertical="center"/>
      <protection hidden="1"/>
    </xf>
    <xf numFmtId="38" fontId="24" fillId="0" borderId="62" xfId="2" applyFont="1" applyFill="1" applyBorder="1" applyProtection="1">
      <alignment vertical="center"/>
      <protection hidden="1"/>
    </xf>
    <xf numFmtId="38" fontId="24" fillId="0" borderId="47" xfId="0" applyNumberFormat="1" applyFont="1" applyBorder="1" applyAlignment="1" applyProtection="1">
      <alignment horizontal="center" vertical="center"/>
      <protection hidden="1"/>
    </xf>
    <xf numFmtId="38" fontId="24" fillId="0" borderId="3" xfId="0" applyNumberFormat="1" applyFont="1" applyBorder="1" applyProtection="1">
      <alignment vertical="center"/>
      <protection hidden="1"/>
    </xf>
    <xf numFmtId="38" fontId="24" fillId="0" borderId="1" xfId="2" applyFont="1" applyFill="1" applyBorder="1" applyProtection="1">
      <alignment vertical="center"/>
      <protection hidden="1"/>
    </xf>
    <xf numFmtId="38" fontId="24" fillId="0" borderId="6" xfId="2" applyFont="1" applyFill="1" applyBorder="1" applyProtection="1">
      <alignment vertical="center"/>
      <protection hidden="1"/>
    </xf>
    <xf numFmtId="0" fontId="38" fillId="0" borderId="2" xfId="0" applyFont="1" applyBorder="1" applyAlignment="1" applyProtection="1">
      <alignment horizontal="center" vertical="center"/>
      <protection hidden="1"/>
    </xf>
    <xf numFmtId="38" fontId="99" fillId="0" borderId="27" xfId="0" applyNumberFormat="1" applyFont="1" applyBorder="1" applyAlignment="1" applyProtection="1">
      <alignment horizontal="center" vertical="center"/>
      <protection hidden="1"/>
    </xf>
    <xf numFmtId="0" fontId="45" fillId="0" borderId="0" xfId="0" applyFont="1" applyAlignment="1" applyProtection="1">
      <alignment horizontal="center" vertical="center"/>
      <protection hidden="1"/>
    </xf>
    <xf numFmtId="0" fontId="12" fillId="8" borderId="71" xfId="0" applyFont="1" applyFill="1" applyBorder="1" applyAlignment="1" applyProtection="1">
      <alignment horizontal="center" vertical="center" wrapText="1"/>
      <protection hidden="1"/>
    </xf>
    <xf numFmtId="0" fontId="20" fillId="6" borderId="33" xfId="0" applyFont="1" applyFill="1" applyBorder="1" applyAlignment="1" applyProtection="1">
      <alignment horizontal="center" vertical="center"/>
      <protection hidden="1"/>
    </xf>
    <xf numFmtId="0" fontId="20" fillId="6" borderId="5" xfId="0" applyFont="1" applyFill="1" applyBorder="1" applyAlignment="1" applyProtection="1">
      <alignment horizontal="center" vertical="center"/>
      <protection hidden="1"/>
    </xf>
    <xf numFmtId="38" fontId="23" fillId="0" borderId="0" xfId="2" applyFont="1" applyFill="1" applyBorder="1" applyAlignment="1" applyProtection="1">
      <alignment horizontal="left" vertical="center"/>
      <protection hidden="1"/>
    </xf>
    <xf numFmtId="0" fontId="45" fillId="0" borderId="0" xfId="0" applyFont="1" applyAlignment="1" applyProtection="1">
      <alignment horizontal="left" vertical="center"/>
      <protection hidden="1"/>
    </xf>
    <xf numFmtId="0" fontId="20" fillId="0" borderId="0" xfId="0" applyFont="1" applyAlignment="1" applyProtection="1">
      <alignment horizontal="center" vertical="center"/>
      <protection hidden="1"/>
    </xf>
    <xf numFmtId="38" fontId="37" fillId="0" borderId="0" xfId="2" applyFont="1" applyFill="1" applyBorder="1" applyAlignment="1" applyProtection="1">
      <alignment horizontal="center" vertical="center"/>
      <protection hidden="1"/>
    </xf>
    <xf numFmtId="0" fontId="12" fillId="19" borderId="27" xfId="0" applyFont="1" applyFill="1" applyBorder="1" applyAlignment="1" applyProtection="1">
      <alignment horizontal="center" vertical="center" wrapText="1"/>
      <protection hidden="1"/>
    </xf>
    <xf numFmtId="38" fontId="37" fillId="6" borderId="0" xfId="0" applyNumberFormat="1" applyFont="1" applyFill="1" applyAlignment="1" applyProtection="1">
      <alignment horizontal="center" vertical="center"/>
      <protection hidden="1"/>
    </xf>
    <xf numFmtId="38" fontId="24" fillId="6" borderId="13" xfId="0" applyNumberFormat="1" applyFont="1" applyFill="1" applyBorder="1" applyAlignment="1" applyProtection="1">
      <alignment horizontal="center" vertical="center"/>
      <protection hidden="1"/>
    </xf>
    <xf numFmtId="38" fontId="24" fillId="6" borderId="0" xfId="0" applyNumberFormat="1" applyFont="1" applyFill="1" applyAlignment="1" applyProtection="1">
      <alignment horizontal="center" vertical="center"/>
      <protection hidden="1"/>
    </xf>
    <xf numFmtId="0" fontId="12" fillId="8" borderId="52" xfId="0" applyFont="1" applyFill="1" applyBorder="1" applyAlignment="1" applyProtection="1">
      <alignment horizontal="center" vertical="center" wrapText="1"/>
      <protection hidden="1"/>
    </xf>
    <xf numFmtId="38" fontId="24" fillId="6" borderId="33" xfId="2" applyFont="1" applyFill="1" applyBorder="1" applyProtection="1">
      <alignment vertical="center"/>
      <protection hidden="1"/>
    </xf>
    <xf numFmtId="38" fontId="24" fillId="6" borderId="5" xfId="2" applyFont="1" applyFill="1" applyBorder="1" applyProtection="1">
      <alignment vertical="center"/>
      <protection hidden="1"/>
    </xf>
    <xf numFmtId="38" fontId="24" fillId="6" borderId="60" xfId="2" applyFont="1" applyFill="1" applyBorder="1" applyProtection="1">
      <alignment vertical="center"/>
      <protection hidden="1"/>
    </xf>
    <xf numFmtId="0" fontId="5" fillId="17" borderId="71" xfId="0" applyFont="1" applyFill="1" applyBorder="1" applyAlignment="1" applyProtection="1">
      <alignment horizontal="center" vertical="center" wrapText="1"/>
      <protection hidden="1"/>
    </xf>
    <xf numFmtId="38" fontId="24" fillId="18" borderId="63" xfId="2" applyFont="1" applyFill="1" applyBorder="1" applyProtection="1">
      <alignment vertical="center"/>
      <protection hidden="1"/>
    </xf>
    <xf numFmtId="38" fontId="24" fillId="18" borderId="26" xfId="2" applyFont="1" applyFill="1" applyBorder="1" applyProtection="1">
      <alignment vertical="center"/>
      <protection hidden="1"/>
    </xf>
    <xf numFmtId="187" fontId="26" fillId="0" borderId="28" xfId="0" applyNumberFormat="1" applyFont="1" applyBorder="1" applyAlignment="1" applyProtection="1">
      <alignment horizontal="center" vertical="center"/>
      <protection locked="0"/>
    </xf>
    <xf numFmtId="0" fontId="5" fillId="2" borderId="3" xfId="0" applyFont="1" applyFill="1" applyBorder="1" applyAlignment="1" applyProtection="1">
      <alignment horizontal="center" vertical="center"/>
      <protection hidden="1"/>
    </xf>
    <xf numFmtId="0" fontId="12" fillId="8" borderId="5" xfId="0" applyFont="1" applyFill="1" applyBorder="1" applyAlignment="1" applyProtection="1">
      <alignment horizontal="center" vertical="center" wrapText="1"/>
      <protection hidden="1"/>
    </xf>
    <xf numFmtId="38" fontId="24" fillId="6" borderId="5" xfId="0" applyNumberFormat="1" applyFont="1" applyFill="1" applyBorder="1" applyAlignment="1" applyProtection="1">
      <alignment horizontal="center" vertical="center"/>
      <protection hidden="1"/>
    </xf>
    <xf numFmtId="0" fontId="58" fillId="0" borderId="0" xfId="0" applyFont="1" applyProtection="1">
      <alignment vertical="center"/>
      <protection locked="0"/>
    </xf>
    <xf numFmtId="38" fontId="24" fillId="6" borderId="2" xfId="2" applyFont="1" applyFill="1" applyBorder="1" applyAlignment="1" applyProtection="1">
      <alignment horizontal="right" vertical="center"/>
      <protection hidden="1"/>
    </xf>
    <xf numFmtId="38" fontId="24" fillId="6" borderId="5" xfId="2" applyFont="1" applyFill="1" applyBorder="1" applyAlignment="1" applyProtection="1">
      <alignment horizontal="right" vertical="center"/>
      <protection hidden="1"/>
    </xf>
    <xf numFmtId="0" fontId="112" fillId="26" borderId="21" xfId="0" applyFont="1" applyFill="1" applyBorder="1" applyAlignment="1" applyProtection="1">
      <alignment horizontal="center" vertical="center" wrapText="1"/>
      <protection hidden="1"/>
    </xf>
    <xf numFmtId="0" fontId="28" fillId="19" borderId="14" xfId="0" applyFont="1" applyFill="1" applyBorder="1" applyAlignment="1" applyProtection="1">
      <alignment horizontal="center" vertical="center" wrapText="1"/>
      <protection hidden="1"/>
    </xf>
    <xf numFmtId="38" fontId="24" fillId="18" borderId="33" xfId="2" applyFont="1" applyFill="1" applyBorder="1" applyProtection="1">
      <alignment vertical="center"/>
      <protection hidden="1"/>
    </xf>
    <xf numFmtId="38" fontId="24" fillId="18" borderId="5" xfId="2" applyFont="1" applyFill="1" applyBorder="1" applyProtection="1">
      <alignment vertical="center"/>
      <protection hidden="1"/>
    </xf>
    <xf numFmtId="38" fontId="24" fillId="18" borderId="47" xfId="2" applyFont="1" applyFill="1" applyBorder="1" applyProtection="1">
      <alignment vertical="center"/>
      <protection hidden="1"/>
    </xf>
    <xf numFmtId="38" fontId="24" fillId="18" borderId="64" xfId="2" applyFont="1" applyFill="1" applyBorder="1" applyProtection="1">
      <alignment vertical="center"/>
      <protection hidden="1"/>
    </xf>
    <xf numFmtId="38" fontId="24" fillId="18" borderId="66" xfId="2" applyFont="1" applyFill="1" applyBorder="1" applyProtection="1">
      <alignment vertical="center"/>
      <protection hidden="1"/>
    </xf>
    <xf numFmtId="0" fontId="6" fillId="0" borderId="0" xfId="0" applyFont="1" applyAlignment="1" applyProtection="1">
      <alignment horizontal="center" vertical="center"/>
      <protection hidden="1"/>
    </xf>
    <xf numFmtId="0" fontId="44" fillId="0" borderId="0" xfId="0" applyFont="1" applyAlignment="1" applyProtection="1">
      <protection hidden="1"/>
    </xf>
    <xf numFmtId="38" fontId="42" fillId="6" borderId="19" xfId="2" applyFont="1" applyFill="1" applyBorder="1" applyAlignment="1" applyProtection="1">
      <alignment horizontal="center" vertical="center"/>
      <protection hidden="1"/>
    </xf>
    <xf numFmtId="0" fontId="98" fillId="16" borderId="0" xfId="0" applyFont="1" applyFill="1" applyAlignment="1" applyProtection="1">
      <alignment horizontal="center" vertical="center"/>
      <protection hidden="1"/>
    </xf>
    <xf numFmtId="38" fontId="42" fillId="6" borderId="51" xfId="2" applyFont="1" applyFill="1" applyBorder="1" applyAlignment="1" applyProtection="1">
      <alignment horizontal="center" vertical="center"/>
      <protection hidden="1"/>
    </xf>
    <xf numFmtId="38" fontId="4" fillId="6" borderId="27" xfId="2" applyFont="1" applyFill="1" applyBorder="1" applyAlignment="1" applyProtection="1">
      <alignment horizontal="center" vertical="center"/>
      <protection hidden="1"/>
    </xf>
    <xf numFmtId="0" fontId="113" fillId="6" borderId="27" xfId="0" applyFont="1" applyFill="1" applyBorder="1" applyAlignment="1" applyProtection="1">
      <alignment horizontal="center" vertical="center"/>
      <protection hidden="1"/>
    </xf>
    <xf numFmtId="0" fontId="98" fillId="0" borderId="0" xfId="0" applyFont="1" applyAlignment="1" applyProtection="1">
      <alignment horizontal="center" vertical="center"/>
      <protection hidden="1"/>
    </xf>
    <xf numFmtId="0" fontId="12" fillId="8" borderId="20" xfId="0" applyFont="1" applyFill="1" applyBorder="1" applyAlignment="1" applyProtection="1">
      <alignment horizontal="center" vertical="center" wrapText="1"/>
      <protection hidden="1"/>
    </xf>
    <xf numFmtId="38" fontId="24" fillId="6" borderId="75" xfId="0" applyNumberFormat="1" applyFont="1" applyFill="1" applyBorder="1" applyAlignment="1" applyProtection="1">
      <alignment horizontal="center" vertical="center"/>
      <protection hidden="1"/>
    </xf>
    <xf numFmtId="38" fontId="24" fillId="6" borderId="24" xfId="0" applyNumberFormat="1" applyFont="1" applyFill="1" applyBorder="1" applyAlignment="1" applyProtection="1">
      <alignment horizontal="center" vertical="center"/>
      <protection hidden="1"/>
    </xf>
    <xf numFmtId="38" fontId="24" fillId="6" borderId="2" xfId="0" applyNumberFormat="1" applyFont="1" applyFill="1" applyBorder="1" applyAlignment="1" applyProtection="1">
      <alignment horizontal="center" vertical="center"/>
      <protection hidden="1"/>
    </xf>
    <xf numFmtId="40" fontId="24" fillId="6" borderId="2" xfId="0" applyNumberFormat="1" applyFont="1" applyFill="1" applyBorder="1" applyAlignment="1" applyProtection="1">
      <alignment horizontal="center" vertical="center"/>
      <protection hidden="1"/>
    </xf>
    <xf numFmtId="40" fontId="37" fillId="6" borderId="5" xfId="0" applyNumberFormat="1" applyFont="1" applyFill="1" applyBorder="1" applyAlignment="1" applyProtection="1">
      <alignment horizontal="center" vertical="center"/>
      <protection hidden="1"/>
    </xf>
    <xf numFmtId="0" fontId="42" fillId="0" borderId="0" xfId="0" applyFont="1" applyAlignment="1" applyProtection="1">
      <alignment horizontal="center" vertical="center"/>
      <protection hidden="1"/>
    </xf>
    <xf numFmtId="38" fontId="38" fillId="7" borderId="2" xfId="2" applyFont="1" applyFill="1" applyBorder="1" applyAlignment="1" applyProtection="1">
      <alignment horizontal="center" vertical="center"/>
      <protection hidden="1"/>
    </xf>
    <xf numFmtId="38" fontId="79" fillId="0" borderId="0" xfId="2" applyFont="1" applyFill="1" applyBorder="1" applyAlignment="1" applyProtection="1">
      <alignment horizontal="left" vertical="center"/>
      <protection locked="0"/>
    </xf>
    <xf numFmtId="38" fontId="32" fillId="0" borderId="13" xfId="2" applyFont="1" applyFill="1" applyBorder="1" applyAlignment="1" applyProtection="1">
      <alignment horizontal="center" vertical="center"/>
      <protection locked="0"/>
    </xf>
    <xf numFmtId="0" fontId="32" fillId="0" borderId="13" xfId="0" applyFont="1" applyBorder="1" applyAlignment="1" applyProtection="1">
      <alignment horizontal="center" vertical="center"/>
      <protection locked="0"/>
    </xf>
    <xf numFmtId="0" fontId="75" fillId="0" borderId="13" xfId="0" applyFont="1" applyBorder="1" applyAlignment="1" applyProtection="1">
      <alignment horizontal="center" vertical="center"/>
      <protection locked="0"/>
    </xf>
    <xf numFmtId="0" fontId="32" fillId="0" borderId="0" xfId="0" quotePrefix="1" applyFont="1" applyAlignment="1" applyProtection="1">
      <alignment horizontal="right" vertical="center"/>
      <protection locked="0"/>
    </xf>
    <xf numFmtId="0" fontId="16" fillId="0" borderId="0" xfId="0" applyFont="1" applyAlignment="1">
      <alignment horizontal="right" vertical="center"/>
    </xf>
    <xf numFmtId="0" fontId="20" fillId="7" borderId="2" xfId="0" applyFont="1" applyFill="1" applyBorder="1" applyAlignment="1">
      <alignment horizontal="left" vertical="center" wrapText="1"/>
    </xf>
    <xf numFmtId="0" fontId="20" fillId="7" borderId="3" xfId="0" applyFont="1" applyFill="1" applyBorder="1" applyAlignment="1">
      <alignment horizontal="left" vertical="center" wrapText="1"/>
    </xf>
    <xf numFmtId="0" fontId="112" fillId="26" borderId="14" xfId="0" applyFont="1" applyFill="1" applyBorder="1" applyAlignment="1" applyProtection="1">
      <alignment horizontal="center" vertical="center" wrapText="1"/>
      <protection hidden="1"/>
    </xf>
    <xf numFmtId="38" fontId="24" fillId="15" borderId="2" xfId="2" applyFont="1" applyFill="1" applyBorder="1" applyAlignment="1" applyProtection="1">
      <alignment horizontal="right" vertical="center"/>
      <protection hidden="1"/>
    </xf>
    <xf numFmtId="38" fontId="24" fillId="15" borderId="5" xfId="2" applyFont="1" applyFill="1" applyBorder="1" applyAlignment="1" applyProtection="1">
      <alignment horizontal="right" vertical="center"/>
      <protection hidden="1"/>
    </xf>
    <xf numFmtId="0" fontId="5" fillId="17" borderId="66" xfId="0" applyFont="1" applyFill="1" applyBorder="1" applyAlignment="1" applyProtection="1">
      <alignment horizontal="center" vertical="center" wrapText="1"/>
      <protection hidden="1"/>
    </xf>
    <xf numFmtId="0" fontId="28" fillId="17" borderId="26" xfId="0" applyFont="1" applyFill="1" applyBorder="1" applyAlignment="1" applyProtection="1">
      <alignment horizontal="center" vertical="center" wrapText="1"/>
      <protection hidden="1"/>
    </xf>
    <xf numFmtId="38" fontId="24" fillId="6" borderId="12" xfId="0" applyNumberFormat="1" applyFont="1" applyFill="1" applyBorder="1" applyProtection="1">
      <alignment vertical="center"/>
      <protection hidden="1"/>
    </xf>
    <xf numFmtId="0" fontId="12" fillId="8" borderId="41" xfId="0" applyFont="1" applyFill="1" applyBorder="1" applyAlignment="1" applyProtection="1">
      <alignment horizontal="center" vertical="center" wrapText="1"/>
      <protection hidden="1"/>
    </xf>
    <xf numFmtId="0" fontId="28" fillId="8" borderId="61" xfId="0" applyFont="1" applyFill="1" applyBorder="1" applyAlignment="1" applyProtection="1">
      <alignment horizontal="center" vertical="center" wrapText="1"/>
      <protection hidden="1"/>
    </xf>
    <xf numFmtId="0" fontId="28" fillId="8" borderId="43" xfId="0" applyFont="1" applyFill="1" applyBorder="1" applyAlignment="1" applyProtection="1">
      <alignment horizontal="center" vertical="center" wrapText="1"/>
      <protection hidden="1"/>
    </xf>
    <xf numFmtId="0" fontId="28" fillId="19" borderId="42" xfId="0" applyFont="1" applyFill="1" applyBorder="1" applyAlignment="1" applyProtection="1">
      <alignment horizontal="center" vertical="center" wrapText="1"/>
      <protection hidden="1"/>
    </xf>
    <xf numFmtId="0" fontId="5" fillId="19" borderId="42" xfId="0" applyFont="1" applyFill="1" applyBorder="1" applyAlignment="1" applyProtection="1">
      <alignment horizontal="center" vertical="center" wrapText="1"/>
      <protection hidden="1"/>
    </xf>
    <xf numFmtId="0" fontId="5" fillId="19" borderId="44" xfId="0" applyFont="1" applyFill="1" applyBorder="1" applyAlignment="1" applyProtection="1">
      <alignment horizontal="center" vertical="center" wrapText="1"/>
      <protection hidden="1"/>
    </xf>
    <xf numFmtId="38" fontId="24" fillId="15" borderId="62" xfId="2" applyFont="1" applyFill="1" applyBorder="1" applyProtection="1">
      <alignment vertical="center"/>
      <protection hidden="1"/>
    </xf>
    <xf numFmtId="38" fontId="24" fillId="15" borderId="32" xfId="2" applyFont="1" applyFill="1" applyBorder="1" applyProtection="1">
      <alignment vertical="center"/>
      <protection hidden="1"/>
    </xf>
    <xf numFmtId="38" fontId="24" fillId="15" borderId="75" xfId="2" applyFont="1" applyFill="1" applyBorder="1" applyProtection="1">
      <alignment vertical="center"/>
      <protection hidden="1"/>
    </xf>
    <xf numFmtId="38" fontId="24" fillId="15" borderId="51" xfId="2" applyFont="1" applyFill="1" applyBorder="1" applyProtection="1">
      <alignment vertical="center"/>
      <protection hidden="1"/>
    </xf>
    <xf numFmtId="38" fontId="24" fillId="15" borderId="1" xfId="2" applyFont="1" applyFill="1" applyBorder="1" applyProtection="1">
      <alignment vertical="center"/>
      <protection hidden="1"/>
    </xf>
    <xf numFmtId="38" fontId="24" fillId="15" borderId="18" xfId="2" applyFont="1" applyFill="1" applyBorder="1" applyProtection="1">
      <alignment vertical="center"/>
      <protection hidden="1"/>
    </xf>
    <xf numFmtId="38" fontId="24" fillId="15" borderId="6" xfId="2" applyFont="1" applyFill="1" applyBorder="1" applyProtection="1">
      <alignment vertical="center"/>
      <protection hidden="1"/>
    </xf>
    <xf numFmtId="38" fontId="24" fillId="15" borderId="73" xfId="2" applyFont="1" applyFill="1" applyBorder="1" applyProtection="1">
      <alignment vertical="center"/>
      <protection hidden="1"/>
    </xf>
    <xf numFmtId="38" fontId="24" fillId="15" borderId="24" xfId="2" applyFont="1" applyFill="1" applyBorder="1" applyProtection="1">
      <alignment vertical="center"/>
      <protection hidden="1"/>
    </xf>
    <xf numFmtId="38" fontId="24" fillId="15" borderId="19" xfId="2" applyFont="1" applyFill="1" applyBorder="1" applyProtection="1">
      <alignment vertical="center"/>
      <protection hidden="1"/>
    </xf>
    <xf numFmtId="38" fontId="24" fillId="6" borderId="3" xfId="2" applyFont="1" applyFill="1" applyBorder="1" applyAlignment="1" applyProtection="1">
      <alignment horizontal="right" vertical="center"/>
      <protection hidden="1"/>
    </xf>
    <xf numFmtId="0" fontId="20" fillId="17" borderId="27" xfId="0" applyFont="1" applyFill="1" applyBorder="1" applyAlignment="1" applyProtection="1">
      <alignment horizontal="center" vertical="center"/>
      <protection hidden="1"/>
    </xf>
    <xf numFmtId="182" fontId="24" fillId="17" borderId="27" xfId="0" applyNumberFormat="1" applyFont="1" applyFill="1" applyBorder="1" applyProtection="1">
      <alignment vertical="center"/>
      <protection hidden="1"/>
    </xf>
    <xf numFmtId="0" fontId="104" fillId="27" borderId="45" xfId="0" applyFont="1" applyFill="1" applyBorder="1" applyAlignment="1" applyProtection="1">
      <alignment horizontal="center" vertical="center"/>
      <protection locked="0"/>
    </xf>
    <xf numFmtId="0" fontId="104" fillId="27" borderId="42" xfId="0" applyFont="1" applyFill="1" applyBorder="1" applyAlignment="1" applyProtection="1">
      <alignment horizontal="center" vertical="center"/>
      <protection locked="0"/>
    </xf>
    <xf numFmtId="0" fontId="104" fillId="27" borderId="44" xfId="0" applyFont="1" applyFill="1" applyBorder="1" applyAlignment="1" applyProtection="1">
      <alignment horizontal="center" vertical="center"/>
      <protection locked="0"/>
    </xf>
    <xf numFmtId="0" fontId="104" fillId="28" borderId="41" xfId="0" applyFont="1" applyFill="1" applyBorder="1" applyAlignment="1" applyProtection="1">
      <alignment horizontal="center" vertical="center"/>
      <protection locked="0"/>
    </xf>
    <xf numFmtId="0" fontId="104" fillId="28" borderId="44" xfId="0" applyFont="1" applyFill="1" applyBorder="1" applyAlignment="1" applyProtection="1">
      <alignment horizontal="center" vertical="center"/>
      <protection locked="0"/>
    </xf>
    <xf numFmtId="0" fontId="104" fillId="29" borderId="52" xfId="0" applyFont="1" applyFill="1" applyBorder="1" applyAlignment="1" applyProtection="1">
      <alignment horizontal="center" vertical="center"/>
      <protection locked="0"/>
    </xf>
    <xf numFmtId="38" fontId="69" fillId="29" borderId="74" xfId="2" applyFont="1" applyFill="1" applyBorder="1" applyAlignment="1" applyProtection="1">
      <alignment horizontal="right" vertical="center"/>
      <protection hidden="1"/>
    </xf>
    <xf numFmtId="38" fontId="69" fillId="29" borderId="57" xfId="2" applyFont="1" applyFill="1" applyBorder="1" applyAlignment="1" applyProtection="1">
      <alignment horizontal="right" vertical="center"/>
      <protection hidden="1"/>
    </xf>
    <xf numFmtId="38" fontId="69" fillId="27" borderId="74" xfId="2" applyFont="1" applyFill="1" applyBorder="1" applyAlignment="1" applyProtection="1">
      <alignment horizontal="right" vertical="center"/>
      <protection hidden="1"/>
    </xf>
    <xf numFmtId="38" fontId="69" fillId="27" borderId="57" xfId="2" applyFont="1" applyFill="1" applyBorder="1" applyAlignment="1" applyProtection="1">
      <alignment horizontal="right" vertical="center"/>
      <protection hidden="1"/>
    </xf>
    <xf numFmtId="38" fontId="69" fillId="28" borderId="81" xfId="2" applyFont="1" applyFill="1" applyBorder="1" applyAlignment="1" applyProtection="1">
      <alignment horizontal="right" vertical="center"/>
      <protection hidden="1"/>
    </xf>
    <xf numFmtId="38" fontId="69" fillId="28" borderId="82" xfId="2" applyFont="1" applyFill="1" applyBorder="1" applyAlignment="1" applyProtection="1">
      <alignment horizontal="right" vertical="center"/>
      <protection hidden="1"/>
    </xf>
    <xf numFmtId="0" fontId="53" fillId="0" borderId="0" xfId="0" applyFont="1" applyAlignment="1" applyProtection="1">
      <alignment horizontal="left"/>
      <protection locked="0"/>
    </xf>
    <xf numFmtId="0" fontId="4" fillId="0" borderId="0" xfId="0" applyFont="1" applyAlignment="1" applyProtection="1">
      <alignment horizontal="left" vertical="center"/>
      <protection locked="0"/>
    </xf>
    <xf numFmtId="0" fontId="115" fillId="0" borderId="0" xfId="0" applyFont="1" applyAlignment="1" applyProtection="1">
      <alignment horizontal="center" vertical="center"/>
      <protection hidden="1"/>
    </xf>
    <xf numFmtId="0" fontId="116" fillId="0" borderId="0" xfId="0" applyFont="1" applyProtection="1">
      <alignment vertical="center"/>
      <protection hidden="1"/>
    </xf>
    <xf numFmtId="0" fontId="117" fillId="0" borderId="0" xfId="0" applyFont="1" applyAlignment="1" applyProtection="1">
      <protection hidden="1"/>
    </xf>
    <xf numFmtId="0" fontId="117" fillId="0" borderId="0" xfId="0" applyFont="1" applyProtection="1">
      <alignment vertical="center"/>
      <protection hidden="1"/>
    </xf>
    <xf numFmtId="0" fontId="118" fillId="0" borderId="0" xfId="0" applyFont="1" applyProtection="1">
      <alignment vertical="center"/>
      <protection hidden="1"/>
    </xf>
    <xf numFmtId="0" fontId="119" fillId="6" borderId="27" xfId="0" applyFont="1" applyFill="1" applyBorder="1" applyAlignment="1" applyProtection="1">
      <alignment horizontal="center" vertical="center"/>
      <protection hidden="1"/>
    </xf>
    <xf numFmtId="0" fontId="120" fillId="0" borderId="0" xfId="0" applyFont="1" applyProtection="1">
      <alignment vertical="center"/>
      <protection hidden="1"/>
    </xf>
    <xf numFmtId="0" fontId="121" fillId="0" borderId="0" xfId="0" applyFont="1" applyAlignment="1" applyProtection="1">
      <alignment horizontal="right" vertical="center"/>
      <protection hidden="1"/>
    </xf>
    <xf numFmtId="0" fontId="122" fillId="0" borderId="0" xfId="0" applyFont="1" applyProtection="1">
      <alignment vertical="center"/>
      <protection hidden="1"/>
    </xf>
    <xf numFmtId="0" fontId="121" fillId="7" borderId="2" xfId="0" applyFont="1" applyFill="1" applyBorder="1" applyAlignment="1" applyProtection="1">
      <alignment horizontal="center" vertical="center"/>
      <protection hidden="1"/>
    </xf>
    <xf numFmtId="0" fontId="118" fillId="0" borderId="0" xfId="0" applyFont="1" applyAlignment="1" applyProtection="1">
      <alignment horizontal="center" vertical="center"/>
      <protection hidden="1"/>
    </xf>
    <xf numFmtId="0" fontId="116" fillId="0" borderId="0" xfId="0" applyFont="1" applyAlignment="1" applyProtection="1">
      <alignment horizontal="center" vertical="center"/>
      <protection hidden="1"/>
    </xf>
    <xf numFmtId="0" fontId="121" fillId="0" borderId="0" xfId="0" applyFont="1" applyAlignment="1" applyProtection="1">
      <alignment horizontal="center" vertical="center"/>
      <protection hidden="1"/>
    </xf>
    <xf numFmtId="0" fontId="121" fillId="0" borderId="0" xfId="0" applyFont="1" applyProtection="1">
      <alignment vertical="center"/>
      <protection hidden="1"/>
    </xf>
    <xf numFmtId="0" fontId="124" fillId="6" borderId="2" xfId="0" applyFont="1" applyFill="1" applyBorder="1" applyAlignment="1" applyProtection="1">
      <alignment horizontal="center" vertical="center"/>
      <protection hidden="1"/>
    </xf>
    <xf numFmtId="181" fontId="116" fillId="0" borderId="0" xfId="0" applyNumberFormat="1" applyFont="1" applyAlignment="1" applyProtection="1">
      <alignment horizontal="center" vertical="center"/>
      <protection hidden="1"/>
    </xf>
    <xf numFmtId="38" fontId="124" fillId="6" borderId="2" xfId="2" applyFont="1" applyFill="1" applyBorder="1" applyProtection="1">
      <alignment vertical="center"/>
      <protection hidden="1"/>
    </xf>
    <xf numFmtId="38" fontId="124" fillId="0" borderId="2" xfId="2" applyFont="1" applyFill="1" applyBorder="1" applyProtection="1">
      <alignment vertical="center"/>
      <protection hidden="1"/>
    </xf>
    <xf numFmtId="38" fontId="124" fillId="0" borderId="0" xfId="2" applyFont="1" applyFill="1" applyBorder="1" applyProtection="1">
      <alignment vertical="center"/>
      <protection hidden="1"/>
    </xf>
    <xf numFmtId="38" fontId="125" fillId="7" borderId="2" xfId="2" applyFont="1" applyFill="1" applyBorder="1" applyAlignment="1" applyProtection="1">
      <alignment horizontal="center" vertical="center"/>
      <protection hidden="1"/>
    </xf>
    <xf numFmtId="0" fontId="124" fillId="0" borderId="0" xfId="0" applyFont="1" applyAlignment="1" applyProtection="1">
      <alignment horizontal="center" vertical="center"/>
      <protection hidden="1"/>
    </xf>
    <xf numFmtId="38" fontId="124" fillId="0" borderId="0" xfId="2" applyFont="1" applyFill="1" applyBorder="1" applyAlignment="1" applyProtection="1">
      <alignment horizontal="center" vertical="center"/>
      <protection hidden="1"/>
    </xf>
    <xf numFmtId="38" fontId="124" fillId="6" borderId="2" xfId="2" applyFont="1" applyFill="1" applyBorder="1" applyAlignment="1" applyProtection="1">
      <alignment horizontal="center" vertical="center"/>
      <protection hidden="1"/>
    </xf>
    <xf numFmtId="38" fontId="118" fillId="6" borderId="27" xfId="2" applyFont="1" applyFill="1" applyBorder="1" applyAlignment="1" applyProtection="1">
      <alignment horizontal="center" vertical="center"/>
      <protection hidden="1"/>
    </xf>
    <xf numFmtId="0" fontId="122" fillId="0" borderId="0" xfId="0" applyFont="1" applyAlignment="1" applyProtection="1">
      <alignment horizontal="left" vertical="center"/>
      <protection hidden="1"/>
    </xf>
    <xf numFmtId="0" fontId="116" fillId="0" borderId="0" xfId="0" applyFont="1" applyAlignment="1" applyProtection="1">
      <alignment horizontal="right" vertical="center"/>
      <protection hidden="1"/>
    </xf>
    <xf numFmtId="38" fontId="124" fillId="6" borderId="51" xfId="2" applyFont="1" applyFill="1" applyBorder="1" applyAlignment="1" applyProtection="1">
      <alignment horizontal="center" vertical="center"/>
      <protection hidden="1"/>
    </xf>
    <xf numFmtId="38" fontId="124" fillId="6" borderId="19" xfId="2" applyFont="1" applyFill="1" applyBorder="1" applyAlignment="1" applyProtection="1">
      <alignment horizontal="center" vertical="center"/>
      <protection hidden="1"/>
    </xf>
    <xf numFmtId="0" fontId="121" fillId="7" borderId="9" xfId="0" applyFont="1" applyFill="1" applyBorder="1" applyAlignment="1" applyProtection="1">
      <alignment horizontal="center" vertical="center"/>
      <protection hidden="1"/>
    </xf>
    <xf numFmtId="38" fontId="121" fillId="0" borderId="0" xfId="2" applyFont="1" applyFill="1" applyBorder="1" applyAlignment="1" applyProtection="1">
      <alignment horizontal="left" vertical="center"/>
      <protection hidden="1"/>
    </xf>
    <xf numFmtId="38" fontId="125" fillId="0" borderId="2" xfId="2" applyFont="1" applyBorder="1" applyAlignment="1" applyProtection="1">
      <alignment horizontal="center" vertical="center"/>
      <protection hidden="1"/>
    </xf>
    <xf numFmtId="0" fontId="125" fillId="14" borderId="2" xfId="0" applyFont="1" applyFill="1" applyBorder="1" applyProtection="1">
      <alignment vertical="center"/>
      <protection hidden="1"/>
    </xf>
    <xf numFmtId="0" fontId="116" fillId="0" borderId="0" xfId="0" applyFont="1" applyAlignment="1" applyProtection="1">
      <alignment horizontal="left" vertical="center"/>
      <protection hidden="1"/>
    </xf>
    <xf numFmtId="38" fontId="121" fillId="0" borderId="0" xfId="2" applyFont="1" applyFill="1" applyBorder="1" applyAlignment="1" applyProtection="1">
      <alignment horizontal="center" vertical="center"/>
      <protection hidden="1"/>
    </xf>
    <xf numFmtId="0" fontId="128" fillId="0" borderId="0" xfId="0" applyFont="1" applyAlignment="1" applyProtection="1">
      <alignment horizontal="left" vertical="center"/>
      <protection hidden="1"/>
    </xf>
    <xf numFmtId="0" fontId="125" fillId="2" borderId="3" xfId="0" applyFont="1" applyFill="1" applyBorder="1" applyAlignment="1" applyProtection="1">
      <alignment horizontal="center" vertical="center"/>
      <protection hidden="1"/>
    </xf>
    <xf numFmtId="0" fontId="125" fillId="8" borderId="28" xfId="0" applyFont="1" applyFill="1" applyBorder="1" applyAlignment="1" applyProtection="1">
      <alignment horizontal="center" vertical="center" wrapText="1"/>
      <protection hidden="1"/>
    </xf>
    <xf numFmtId="0" fontId="125" fillId="8" borderId="5" xfId="0" applyFont="1" applyFill="1" applyBorder="1" applyAlignment="1" applyProtection="1">
      <alignment horizontal="center" vertical="center" wrapText="1"/>
      <protection hidden="1"/>
    </xf>
    <xf numFmtId="0" fontId="125" fillId="26" borderId="21" xfId="0" applyFont="1" applyFill="1" applyBorder="1" applyAlignment="1" applyProtection="1">
      <alignment horizontal="center" vertical="center" wrapText="1"/>
      <protection hidden="1"/>
    </xf>
    <xf numFmtId="0" fontId="125" fillId="19" borderId="14" xfId="0" applyFont="1" applyFill="1" applyBorder="1" applyAlignment="1" applyProtection="1">
      <alignment horizontal="center" vertical="center" wrapText="1"/>
      <protection hidden="1"/>
    </xf>
    <xf numFmtId="0" fontId="125" fillId="26" borderId="14" xfId="0" applyFont="1" applyFill="1" applyBorder="1" applyAlignment="1" applyProtection="1">
      <alignment horizontal="center" vertical="center" wrapText="1"/>
      <protection hidden="1"/>
    </xf>
    <xf numFmtId="0" fontId="125" fillId="19" borderId="27" xfId="0" applyFont="1" applyFill="1" applyBorder="1" applyAlignment="1" applyProtection="1">
      <alignment horizontal="center" vertical="center" wrapText="1"/>
      <protection hidden="1"/>
    </xf>
    <xf numFmtId="0" fontId="125" fillId="8" borderId="27" xfId="0" applyFont="1" applyFill="1" applyBorder="1" applyAlignment="1" applyProtection="1">
      <alignment horizontal="center" vertical="center" wrapText="1"/>
      <protection hidden="1"/>
    </xf>
    <xf numFmtId="0" fontId="125" fillId="8" borderId="52" xfId="0" applyFont="1" applyFill="1" applyBorder="1" applyAlignment="1" applyProtection="1">
      <alignment horizontal="center" vertical="center" wrapText="1"/>
      <protection hidden="1"/>
    </xf>
    <xf numFmtId="0" fontId="125" fillId="8" borderId="2" xfId="0" applyFont="1" applyFill="1" applyBorder="1" applyAlignment="1" applyProtection="1">
      <alignment horizontal="center" vertical="center" wrapText="1"/>
      <protection hidden="1"/>
    </xf>
    <xf numFmtId="0" fontId="125" fillId="8" borderId="25" xfId="0" applyFont="1" applyFill="1" applyBorder="1" applyAlignment="1" applyProtection="1">
      <alignment horizontal="center" vertical="center" wrapText="1"/>
      <protection hidden="1"/>
    </xf>
    <xf numFmtId="0" fontId="125" fillId="8" borderId="65" xfId="0" applyFont="1" applyFill="1" applyBorder="1" applyAlignment="1" applyProtection="1">
      <alignment horizontal="center" vertical="center" wrapText="1"/>
      <protection hidden="1"/>
    </xf>
    <xf numFmtId="0" fontId="125" fillId="17" borderId="27" xfId="0" applyFont="1" applyFill="1" applyBorder="1" applyAlignment="1" applyProtection="1">
      <alignment horizontal="center" vertical="center" wrapText="1"/>
      <protection hidden="1"/>
    </xf>
    <xf numFmtId="0" fontId="125" fillId="17" borderId="52" xfId="0" applyFont="1" applyFill="1" applyBorder="1" applyAlignment="1" applyProtection="1">
      <alignment horizontal="center" vertical="center" wrapText="1"/>
      <protection hidden="1"/>
    </xf>
    <xf numFmtId="0" fontId="125" fillId="19" borderId="66" xfId="0" applyFont="1" applyFill="1" applyBorder="1" applyAlignment="1" applyProtection="1">
      <alignment horizontal="center" vertical="center" wrapText="1"/>
      <protection hidden="1"/>
    </xf>
    <xf numFmtId="0" fontId="125" fillId="19" borderId="24" xfId="0" applyFont="1" applyFill="1" applyBorder="1" applyAlignment="1" applyProtection="1">
      <alignment horizontal="center" vertical="center" wrapText="1"/>
      <protection hidden="1"/>
    </xf>
    <xf numFmtId="0" fontId="125" fillId="17" borderId="71" xfId="0" applyFont="1" applyFill="1" applyBorder="1" applyAlignment="1" applyProtection="1">
      <alignment horizontal="center" vertical="center" wrapText="1"/>
      <protection hidden="1"/>
    </xf>
    <xf numFmtId="0" fontId="125" fillId="17" borderId="61" xfId="0" applyFont="1" applyFill="1" applyBorder="1" applyAlignment="1" applyProtection="1">
      <alignment horizontal="center" vertical="center" wrapText="1"/>
      <protection hidden="1"/>
    </xf>
    <xf numFmtId="0" fontId="125" fillId="17" borderId="2" xfId="0" applyFont="1" applyFill="1" applyBorder="1" applyAlignment="1" applyProtection="1">
      <alignment horizontal="center" vertical="center" wrapText="1"/>
      <protection hidden="1"/>
    </xf>
    <xf numFmtId="0" fontId="116" fillId="2" borderId="3" xfId="0" applyFont="1" applyFill="1" applyBorder="1" applyAlignment="1" applyProtection="1">
      <alignment horizontal="center" vertical="center"/>
      <protection hidden="1"/>
    </xf>
    <xf numFmtId="38" fontId="124" fillId="6" borderId="27" xfId="0" applyNumberFormat="1" applyFont="1" applyFill="1" applyBorder="1" applyAlignment="1" applyProtection="1">
      <alignment horizontal="center" vertical="center"/>
      <protection hidden="1"/>
    </xf>
    <xf numFmtId="38" fontId="124" fillId="6" borderId="0" xfId="0" applyNumberFormat="1" applyFont="1" applyFill="1" applyAlignment="1" applyProtection="1">
      <alignment horizontal="center" vertical="center"/>
      <protection hidden="1"/>
    </xf>
    <xf numFmtId="38" fontId="121" fillId="6" borderId="2" xfId="2" applyFont="1" applyFill="1" applyBorder="1" applyAlignment="1" applyProtection="1">
      <alignment horizontal="right" vertical="center"/>
      <protection hidden="1"/>
    </xf>
    <xf numFmtId="0" fontId="121" fillId="6" borderId="71" xfId="0" applyFont="1" applyFill="1" applyBorder="1" applyAlignment="1" applyProtection="1">
      <alignment horizontal="center" vertical="center"/>
      <protection hidden="1"/>
    </xf>
    <xf numFmtId="182" fontId="121" fillId="6" borderId="27" xfId="0" applyNumberFormat="1" applyFont="1" applyFill="1" applyBorder="1" applyProtection="1">
      <alignment vertical="center"/>
      <protection hidden="1"/>
    </xf>
    <xf numFmtId="38" fontId="121" fillId="6" borderId="33" xfId="0" applyNumberFormat="1" applyFont="1" applyFill="1" applyBorder="1" applyProtection="1">
      <alignment vertical="center"/>
      <protection hidden="1"/>
    </xf>
    <xf numFmtId="38" fontId="121" fillId="6" borderId="32" xfId="0" applyNumberFormat="1" applyFont="1" applyFill="1" applyBorder="1" applyProtection="1">
      <alignment vertical="center"/>
      <protection hidden="1"/>
    </xf>
    <xf numFmtId="38" fontId="121" fillId="6" borderId="2" xfId="0" applyNumberFormat="1" applyFont="1" applyFill="1" applyBorder="1" applyProtection="1">
      <alignment vertical="center"/>
      <protection hidden="1"/>
    </xf>
    <xf numFmtId="38" fontId="121" fillId="6" borderId="33" xfId="2" applyFont="1" applyFill="1" applyBorder="1" applyProtection="1">
      <alignment vertical="center"/>
      <protection hidden="1"/>
    </xf>
    <xf numFmtId="38" fontId="121" fillId="6" borderId="51" xfId="0" applyNumberFormat="1" applyFont="1" applyFill="1" applyBorder="1" applyProtection="1">
      <alignment vertical="center"/>
      <protection hidden="1"/>
    </xf>
    <xf numFmtId="38" fontId="121" fillId="18" borderId="62" xfId="2" applyFont="1" applyFill="1" applyBorder="1" applyProtection="1">
      <alignment vertical="center"/>
      <protection hidden="1"/>
    </xf>
    <xf numFmtId="38" fontId="121" fillId="18" borderId="32" xfId="2" applyFont="1" applyFill="1" applyBorder="1" applyProtection="1">
      <alignment vertical="center"/>
      <protection hidden="1"/>
    </xf>
    <xf numFmtId="38" fontId="121" fillId="16" borderId="29" xfId="2" applyFont="1" applyFill="1" applyBorder="1" applyProtection="1">
      <alignment vertical="center"/>
      <protection hidden="1"/>
    </xf>
    <xf numFmtId="38" fontId="121" fillId="16" borderId="17" xfId="2" applyFont="1" applyFill="1" applyBorder="1" applyProtection="1">
      <alignment vertical="center"/>
      <protection hidden="1"/>
    </xf>
    <xf numFmtId="38" fontId="121" fillId="18" borderId="47" xfId="2" applyFont="1" applyFill="1" applyBorder="1" applyProtection="1">
      <alignment vertical="center"/>
      <protection hidden="1"/>
    </xf>
    <xf numFmtId="38" fontId="121" fillId="18" borderId="33" xfId="2" applyFont="1" applyFill="1" applyBorder="1" applyProtection="1">
      <alignment vertical="center"/>
      <protection hidden="1"/>
    </xf>
    <xf numFmtId="38" fontId="121" fillId="18" borderId="13" xfId="2" applyFont="1" applyFill="1" applyBorder="1" applyProtection="1">
      <alignment vertical="center"/>
      <protection hidden="1"/>
    </xf>
    <xf numFmtId="38" fontId="121" fillId="18" borderId="2" xfId="2" applyFont="1" applyFill="1" applyBorder="1" applyProtection="1">
      <alignment vertical="center"/>
      <protection hidden="1"/>
    </xf>
    <xf numFmtId="38" fontId="121" fillId="6" borderId="47" xfId="0" applyNumberFormat="1" applyFont="1" applyFill="1" applyBorder="1" applyAlignment="1" applyProtection="1">
      <alignment horizontal="center" vertical="center"/>
      <protection hidden="1"/>
    </xf>
    <xf numFmtId="38" fontId="121" fillId="6" borderId="5" xfId="0" applyNumberFormat="1" applyFont="1" applyFill="1" applyBorder="1" applyAlignment="1" applyProtection="1">
      <alignment horizontal="center" vertical="center"/>
      <protection hidden="1"/>
    </xf>
    <xf numFmtId="0" fontId="121" fillId="6" borderId="33" xfId="0" applyFont="1" applyFill="1" applyBorder="1" applyAlignment="1" applyProtection="1">
      <alignment horizontal="center" vertical="center"/>
      <protection hidden="1"/>
    </xf>
    <xf numFmtId="182" fontId="121" fillId="6" borderId="12" xfId="0" applyNumberFormat="1" applyFont="1" applyFill="1" applyBorder="1" applyProtection="1">
      <alignment vertical="center"/>
      <protection hidden="1"/>
    </xf>
    <xf numFmtId="38" fontId="121" fillId="6" borderId="5" xfId="2" applyFont="1" applyFill="1" applyBorder="1" applyProtection="1">
      <alignment vertical="center"/>
      <protection hidden="1"/>
    </xf>
    <xf numFmtId="38" fontId="121" fillId="18" borderId="1" xfId="2" applyFont="1" applyFill="1" applyBorder="1" applyProtection="1">
      <alignment vertical="center"/>
      <protection hidden="1"/>
    </xf>
    <xf numFmtId="38" fontId="121" fillId="16" borderId="75" xfId="2" applyFont="1" applyFill="1" applyBorder="1" applyProtection="1">
      <alignment vertical="center"/>
      <protection hidden="1"/>
    </xf>
    <xf numFmtId="38" fontId="121" fillId="16" borderId="18" xfId="2" applyFont="1" applyFill="1" applyBorder="1" applyProtection="1">
      <alignment vertical="center"/>
      <protection hidden="1"/>
    </xf>
    <xf numFmtId="38" fontId="121" fillId="18" borderId="5" xfId="2" applyFont="1" applyFill="1" applyBorder="1" applyProtection="1">
      <alignment vertical="center"/>
      <protection hidden="1"/>
    </xf>
    <xf numFmtId="38" fontId="121" fillId="6" borderId="13" xfId="0" applyNumberFormat="1" applyFont="1" applyFill="1" applyBorder="1" applyAlignment="1" applyProtection="1">
      <alignment horizontal="center" vertical="center"/>
      <protection hidden="1"/>
    </xf>
    <xf numFmtId="0" fontId="121" fillId="6" borderId="5" xfId="0" applyFont="1" applyFill="1" applyBorder="1" applyAlignment="1" applyProtection="1">
      <alignment horizontal="center" vertical="center"/>
      <protection hidden="1"/>
    </xf>
    <xf numFmtId="182" fontId="121" fillId="6" borderId="2" xfId="0" applyNumberFormat="1" applyFont="1" applyFill="1" applyBorder="1" applyProtection="1">
      <alignment vertical="center"/>
      <protection hidden="1"/>
    </xf>
    <xf numFmtId="38" fontId="121" fillId="6" borderId="5" xfId="2" applyFont="1" applyFill="1" applyBorder="1" applyAlignment="1" applyProtection="1">
      <alignment horizontal="right" vertical="center"/>
      <protection hidden="1"/>
    </xf>
    <xf numFmtId="38" fontId="121" fillId="6" borderId="66" xfId="0" applyNumberFormat="1" applyFont="1" applyFill="1" applyBorder="1" applyAlignment="1" applyProtection="1">
      <alignment horizontal="center" vertical="center"/>
      <protection hidden="1"/>
    </xf>
    <xf numFmtId="38" fontId="121" fillId="6" borderId="0" xfId="0" applyNumberFormat="1" applyFont="1" applyFill="1" applyAlignment="1" applyProtection="1">
      <alignment horizontal="center" vertical="center"/>
      <protection hidden="1"/>
    </xf>
    <xf numFmtId="38" fontId="121" fillId="6" borderId="60" xfId="2" applyFont="1" applyFill="1" applyBorder="1" applyProtection="1">
      <alignment vertical="center"/>
      <protection hidden="1"/>
    </xf>
    <xf numFmtId="38" fontId="121" fillId="18" borderId="6" xfId="2" applyFont="1" applyFill="1" applyBorder="1" applyProtection="1">
      <alignment vertical="center"/>
      <protection hidden="1"/>
    </xf>
    <xf numFmtId="38" fontId="121" fillId="18" borderId="73" xfId="2" applyFont="1" applyFill="1" applyBorder="1" applyProtection="1">
      <alignment vertical="center"/>
      <protection hidden="1"/>
    </xf>
    <xf numFmtId="38" fontId="121" fillId="16" borderId="24" xfId="2" applyFont="1" applyFill="1" applyBorder="1" applyProtection="1">
      <alignment vertical="center"/>
      <protection hidden="1"/>
    </xf>
    <xf numFmtId="38" fontId="121" fillId="16" borderId="19" xfId="2" applyFont="1" applyFill="1" applyBorder="1" applyProtection="1">
      <alignment vertical="center"/>
      <protection hidden="1"/>
    </xf>
    <xf numFmtId="38" fontId="121" fillId="18" borderId="64" xfId="2" applyFont="1" applyFill="1" applyBorder="1" applyProtection="1">
      <alignment vertical="center"/>
      <protection hidden="1"/>
    </xf>
    <xf numFmtId="38" fontId="121" fillId="18" borderId="66" xfId="2" applyFont="1" applyFill="1" applyBorder="1" applyProtection="1">
      <alignment vertical="center"/>
      <protection hidden="1"/>
    </xf>
    <xf numFmtId="38" fontId="121" fillId="18" borderId="25" xfId="2" applyFont="1" applyFill="1" applyBorder="1" applyProtection="1">
      <alignment vertical="center"/>
      <protection hidden="1"/>
    </xf>
    <xf numFmtId="0" fontId="116" fillId="0" borderId="2" xfId="0" applyFont="1" applyBorder="1" applyProtection="1">
      <alignment vertical="center"/>
      <protection hidden="1"/>
    </xf>
    <xf numFmtId="0" fontId="121" fillId="7" borderId="12" xfId="0" applyFont="1" applyFill="1" applyBorder="1" applyAlignment="1" applyProtection="1">
      <alignment horizontal="center" vertical="center"/>
      <protection hidden="1"/>
    </xf>
    <xf numFmtId="0" fontId="124" fillId="6" borderId="12" xfId="0" applyFont="1" applyFill="1" applyBorder="1" applyAlignment="1" applyProtection="1">
      <alignment horizontal="center" vertical="center"/>
      <protection hidden="1"/>
    </xf>
    <xf numFmtId="38" fontId="121" fillId="8" borderId="2" xfId="2" applyFont="1" applyFill="1" applyBorder="1" applyAlignment="1" applyProtection="1">
      <alignment horizontal="right" vertical="center"/>
      <protection hidden="1"/>
    </xf>
    <xf numFmtId="38" fontId="121" fillId="8" borderId="5" xfId="2" applyFont="1" applyFill="1" applyBorder="1" applyAlignment="1" applyProtection="1">
      <alignment horizontal="right" vertical="center"/>
      <protection hidden="1"/>
    </xf>
    <xf numFmtId="0" fontId="14" fillId="6" borderId="2" xfId="0" applyFont="1" applyFill="1" applyBorder="1" applyProtection="1">
      <alignment vertical="center"/>
      <protection hidden="1"/>
    </xf>
    <xf numFmtId="38" fontId="37" fillId="6" borderId="32" xfId="0" applyNumberFormat="1" applyFont="1" applyFill="1" applyBorder="1" applyAlignment="1" applyProtection="1">
      <alignment horizontal="center" vertical="center"/>
      <protection hidden="1"/>
    </xf>
    <xf numFmtId="0" fontId="45" fillId="0" borderId="2" xfId="0" applyFont="1" applyBorder="1" applyAlignment="1" applyProtection="1">
      <alignment horizontal="center" vertical="center"/>
      <protection hidden="1"/>
    </xf>
    <xf numFmtId="187" fontId="37" fillId="0" borderId="2" xfId="0" applyNumberFormat="1" applyFont="1" applyBorder="1" applyAlignment="1" applyProtection="1">
      <alignment horizontal="center" vertical="center"/>
      <protection hidden="1"/>
    </xf>
    <xf numFmtId="38" fontId="38" fillId="0" borderId="5" xfId="2" applyFont="1" applyFill="1" applyBorder="1" applyAlignment="1" applyProtection="1">
      <alignment vertical="center"/>
      <protection hidden="1"/>
    </xf>
    <xf numFmtId="0" fontId="38" fillId="0" borderId="5" xfId="0" applyFont="1" applyBorder="1" applyProtection="1">
      <alignment vertical="center"/>
      <protection hidden="1"/>
    </xf>
    <xf numFmtId="0" fontId="5" fillId="16" borderId="12" xfId="0" applyFont="1" applyFill="1" applyBorder="1" applyAlignment="1" applyProtection="1">
      <alignment horizontal="center" vertical="center"/>
      <protection hidden="1"/>
    </xf>
    <xf numFmtId="0" fontId="5" fillId="22" borderId="52" xfId="0" applyFont="1" applyFill="1" applyBorder="1" applyAlignment="1" applyProtection="1">
      <alignment horizontal="center" vertical="center"/>
      <protection hidden="1"/>
    </xf>
    <xf numFmtId="0" fontId="14" fillId="16" borderId="24" xfId="0" applyFont="1" applyFill="1" applyBorder="1" applyAlignment="1" applyProtection="1">
      <alignment horizontal="center" vertical="center"/>
      <protection hidden="1"/>
    </xf>
    <xf numFmtId="0" fontId="14" fillId="16" borderId="32" xfId="0" applyFont="1" applyFill="1" applyBorder="1" applyAlignment="1" applyProtection="1">
      <alignment horizontal="center" vertical="center"/>
      <protection hidden="1"/>
    </xf>
    <xf numFmtId="0" fontId="14" fillId="16" borderId="3" xfId="0" applyFont="1" applyFill="1" applyBorder="1" applyAlignment="1" applyProtection="1">
      <alignment horizontal="center" vertical="center"/>
      <protection hidden="1"/>
    </xf>
    <xf numFmtId="0" fontId="23" fillId="6" borderId="27" xfId="0" applyFont="1" applyFill="1" applyBorder="1" applyAlignment="1" applyProtection="1">
      <alignment horizontal="center" vertical="center" wrapText="1"/>
      <protection hidden="1"/>
    </xf>
    <xf numFmtId="0" fontId="20" fillId="6" borderId="71" xfId="0" applyFont="1" applyFill="1" applyBorder="1" applyAlignment="1" applyProtection="1">
      <alignment horizontal="center" vertical="center" wrapText="1"/>
      <protection hidden="1"/>
    </xf>
    <xf numFmtId="0" fontId="24" fillId="6" borderId="27" xfId="0" applyFont="1" applyFill="1" applyBorder="1" applyAlignment="1" applyProtection="1">
      <alignment horizontal="center" vertical="center" wrapText="1"/>
      <protection hidden="1"/>
    </xf>
    <xf numFmtId="0" fontId="24" fillId="6" borderId="43" xfId="0" applyFont="1" applyFill="1" applyBorder="1" applyAlignment="1" applyProtection="1">
      <alignment horizontal="center" vertical="center" wrapText="1"/>
      <protection hidden="1"/>
    </xf>
    <xf numFmtId="0" fontId="24" fillId="6" borderId="42" xfId="0" applyFont="1" applyFill="1" applyBorder="1" applyAlignment="1" applyProtection="1">
      <alignment horizontal="center" vertical="center" wrapText="1"/>
      <protection hidden="1"/>
    </xf>
    <xf numFmtId="0" fontId="24" fillId="6" borderId="52" xfId="0" applyFont="1" applyFill="1" applyBorder="1" applyAlignment="1" applyProtection="1">
      <alignment horizontal="center" vertical="center" wrapText="1"/>
      <protection hidden="1"/>
    </xf>
    <xf numFmtId="38" fontId="20" fillId="0" borderId="32" xfId="0" applyNumberFormat="1" applyFont="1" applyBorder="1" applyAlignment="1" applyProtection="1">
      <alignment horizontal="center" vertical="center"/>
      <protection hidden="1"/>
    </xf>
    <xf numFmtId="38" fontId="24" fillId="0" borderId="0" xfId="0" applyNumberFormat="1" applyFont="1" applyAlignment="1" applyProtection="1">
      <alignment horizontal="center" vertical="center"/>
      <protection hidden="1"/>
    </xf>
    <xf numFmtId="38" fontId="24" fillId="0" borderId="2" xfId="0" applyNumberFormat="1" applyFont="1" applyBorder="1" applyAlignment="1" applyProtection="1">
      <alignment horizontal="center" vertical="center"/>
      <protection hidden="1"/>
    </xf>
    <xf numFmtId="38" fontId="24" fillId="0" borderId="51" xfId="0" applyNumberFormat="1" applyFont="1" applyBorder="1" applyProtection="1">
      <alignment vertical="center"/>
      <protection hidden="1"/>
    </xf>
    <xf numFmtId="38" fontId="24" fillId="0" borderId="47" xfId="0" applyNumberFormat="1" applyFont="1" applyBorder="1" applyProtection="1">
      <alignment vertical="center"/>
      <protection hidden="1"/>
    </xf>
    <xf numFmtId="38" fontId="24" fillId="0" borderId="51" xfId="2" applyFont="1" applyFill="1" applyBorder="1" applyProtection="1">
      <alignment vertical="center"/>
      <protection hidden="1"/>
    </xf>
    <xf numFmtId="38" fontId="24" fillId="0" borderId="12" xfId="0" applyNumberFormat="1" applyFont="1" applyBorder="1" applyAlignment="1" applyProtection="1">
      <alignment horizontal="center" vertical="center"/>
      <protection hidden="1"/>
    </xf>
    <xf numFmtId="38" fontId="24" fillId="0" borderId="3" xfId="0" applyNumberFormat="1" applyFont="1" applyBorder="1" applyAlignment="1" applyProtection="1">
      <alignment horizontal="center" vertical="center"/>
      <protection hidden="1"/>
    </xf>
    <xf numFmtId="38" fontId="24" fillId="0" borderId="54" xfId="0" applyNumberFormat="1" applyFont="1" applyBorder="1" applyProtection="1">
      <alignment vertical="center"/>
      <protection hidden="1"/>
    </xf>
    <xf numFmtId="38" fontId="24" fillId="0" borderId="3" xfId="2" applyFont="1" applyFill="1" applyBorder="1" applyProtection="1">
      <alignment vertical="center"/>
      <protection hidden="1"/>
    </xf>
    <xf numFmtId="38" fontId="24" fillId="0" borderId="18" xfId="2" applyFont="1" applyFill="1" applyBorder="1" applyProtection="1">
      <alignment vertical="center"/>
      <protection hidden="1"/>
    </xf>
    <xf numFmtId="38" fontId="24" fillId="0" borderId="36" xfId="0" applyNumberFormat="1" applyFont="1" applyBorder="1" applyProtection="1">
      <alignment vertical="center"/>
      <protection hidden="1"/>
    </xf>
    <xf numFmtId="38" fontId="24" fillId="0" borderId="19" xfId="2" applyFont="1" applyFill="1" applyBorder="1" applyProtection="1">
      <alignment vertical="center"/>
      <protection hidden="1"/>
    </xf>
    <xf numFmtId="0" fontId="24" fillId="6" borderId="2" xfId="0" applyFont="1" applyFill="1" applyBorder="1" applyAlignment="1" applyProtection="1">
      <alignment horizontal="center" vertical="center"/>
      <protection hidden="1"/>
    </xf>
    <xf numFmtId="38" fontId="5" fillId="6" borderId="2" xfId="2" applyFont="1" applyFill="1" applyBorder="1" applyAlignment="1" applyProtection="1">
      <alignment horizontal="center" vertical="center"/>
      <protection hidden="1"/>
    </xf>
    <xf numFmtId="38" fontId="5" fillId="6" borderId="3" xfId="2" applyFont="1" applyFill="1" applyBorder="1" applyAlignment="1" applyProtection="1">
      <alignment horizontal="center" vertical="center"/>
      <protection hidden="1"/>
    </xf>
    <xf numFmtId="0" fontId="54" fillId="0" borderId="0" xfId="0" applyFont="1" applyProtection="1">
      <alignment vertical="center"/>
      <protection locked="0"/>
    </xf>
    <xf numFmtId="0" fontId="131" fillId="0" borderId="0" xfId="0" applyFont="1" applyProtection="1">
      <alignment vertical="center"/>
      <protection locked="0"/>
    </xf>
    <xf numFmtId="0" fontId="39" fillId="0" borderId="0" xfId="0" applyFont="1" applyProtection="1">
      <alignment vertical="center"/>
      <protection hidden="1"/>
    </xf>
    <xf numFmtId="0" fontId="22" fillId="0" borderId="0" xfId="0" applyFont="1" applyProtection="1">
      <alignment vertical="center"/>
      <protection locked="0"/>
    </xf>
    <xf numFmtId="0" fontId="51" fillId="0" borderId="0" xfId="0" applyFont="1" applyAlignment="1" applyProtection="1">
      <alignment horizontal="center" vertical="center"/>
      <protection locked="0"/>
    </xf>
    <xf numFmtId="10" fontId="42" fillId="0" borderId="0" xfId="0" applyNumberFormat="1" applyFont="1" applyAlignment="1" applyProtection="1">
      <alignment horizontal="center" vertical="center"/>
      <protection locked="0"/>
    </xf>
    <xf numFmtId="181" fontId="0" fillId="0" borderId="0" xfId="0" applyNumberFormat="1" applyAlignment="1" applyProtection="1">
      <alignment horizontal="center" vertical="center"/>
      <protection locked="0"/>
    </xf>
    <xf numFmtId="0" fontId="19" fillId="0" borderId="0" xfId="0" applyFont="1" applyProtection="1">
      <alignment vertical="center"/>
      <protection locked="0"/>
    </xf>
    <xf numFmtId="10" fontId="37" fillId="0" borderId="0" xfId="0" applyNumberFormat="1" applyFont="1" applyAlignment="1" applyProtection="1">
      <alignment horizontal="center" vertical="center"/>
      <protection locked="0"/>
    </xf>
    <xf numFmtId="181" fontId="19" fillId="0" borderId="0" xfId="0" applyNumberFormat="1" applyFont="1" applyAlignment="1" applyProtection="1">
      <alignment horizontal="center" vertical="center"/>
      <protection locked="0"/>
    </xf>
    <xf numFmtId="0" fontId="28" fillId="0" borderId="0" xfId="0" applyFont="1" applyProtection="1">
      <alignment vertical="center"/>
      <protection locked="0"/>
    </xf>
    <xf numFmtId="38" fontId="0" fillId="0" borderId="2" xfId="2" applyFont="1" applyFill="1" applyBorder="1" applyAlignment="1">
      <alignment vertical="center"/>
    </xf>
    <xf numFmtId="38" fontId="0" fillId="0" borderId="9" xfId="2" applyFont="1" applyFill="1" applyBorder="1" applyAlignment="1">
      <alignment vertical="center"/>
    </xf>
    <xf numFmtId="38" fontId="0" fillId="0" borderId="11" xfId="2" applyFont="1" applyFill="1" applyBorder="1" applyAlignment="1">
      <alignment vertical="center"/>
    </xf>
    <xf numFmtId="38" fontId="0" fillId="0" borderId="12" xfId="2" applyFont="1" applyFill="1" applyBorder="1" applyAlignment="1">
      <alignment vertical="center"/>
    </xf>
    <xf numFmtId="38" fontId="0" fillId="0" borderId="18" xfId="2" applyFont="1" applyFill="1" applyBorder="1" applyAlignment="1">
      <alignment vertical="center"/>
    </xf>
    <xf numFmtId="38" fontId="0" fillId="0" borderId="26" xfId="2" applyFont="1" applyFill="1" applyBorder="1" applyAlignment="1">
      <alignment vertical="center"/>
    </xf>
    <xf numFmtId="38" fontId="0" fillId="0" borderId="0" xfId="2" applyFont="1" applyFill="1" applyBorder="1" applyAlignment="1">
      <alignment vertical="center"/>
    </xf>
    <xf numFmtId="178" fontId="0" fillId="0" borderId="30" xfId="0" applyNumberFormat="1" applyBorder="1">
      <alignment vertical="center"/>
    </xf>
    <xf numFmtId="0" fontId="0" fillId="0" borderId="39" xfId="0" applyBorder="1">
      <alignment vertical="center"/>
    </xf>
    <xf numFmtId="38" fontId="0" fillId="0" borderId="4" xfId="2" applyFont="1" applyFill="1" applyBorder="1">
      <alignment vertical="center"/>
    </xf>
    <xf numFmtId="0" fontId="0" fillId="0" borderId="30" xfId="0" applyBorder="1">
      <alignment vertical="center"/>
    </xf>
    <xf numFmtId="3" fontId="0" fillId="0" borderId="3" xfId="0" applyNumberFormat="1" applyBorder="1">
      <alignment vertical="center"/>
    </xf>
    <xf numFmtId="0" fontId="0" fillId="0" borderId="4" xfId="0" applyBorder="1">
      <alignment vertical="center"/>
    </xf>
    <xf numFmtId="38" fontId="0" fillId="0" borderId="4" xfId="2" applyFont="1" applyFill="1" applyBorder="1" applyAlignment="1">
      <alignment horizontal="right" vertical="center"/>
    </xf>
    <xf numFmtId="179" fontId="0" fillId="0" borderId="0" xfId="0" applyNumberFormat="1">
      <alignment vertical="center"/>
    </xf>
    <xf numFmtId="0" fontId="0" fillId="0" borderId="36" xfId="0" applyBorder="1">
      <alignment vertical="center"/>
    </xf>
    <xf numFmtId="38" fontId="0" fillId="0" borderId="6" xfId="2" applyFont="1" applyFill="1" applyBorder="1">
      <alignment vertical="center"/>
    </xf>
    <xf numFmtId="38" fontId="0" fillId="0" borderId="0" xfId="2" applyFont="1" applyFill="1">
      <alignment vertical="center"/>
    </xf>
    <xf numFmtId="0" fontId="132" fillId="0" borderId="0" xfId="0" applyFont="1">
      <alignment vertical="center"/>
    </xf>
    <xf numFmtId="187" fontId="26" fillId="0" borderId="0" xfId="0" applyNumberFormat="1" applyFont="1" applyAlignment="1" applyProtection="1">
      <alignment horizontal="center" vertical="center"/>
      <protection hidden="1"/>
    </xf>
    <xf numFmtId="0" fontId="28" fillId="0" borderId="2" xfId="0" applyFont="1" applyBorder="1" applyAlignment="1" applyProtection="1">
      <alignment horizontal="center" vertical="center"/>
      <protection hidden="1"/>
    </xf>
    <xf numFmtId="9" fontId="28" fillId="0" borderId="0" xfId="1" applyFont="1" applyBorder="1" applyAlignment="1" applyProtection="1">
      <alignment horizontal="center" vertical="center"/>
      <protection hidden="1"/>
    </xf>
    <xf numFmtId="0" fontId="28" fillId="15" borderId="2" xfId="0" applyFont="1" applyFill="1" applyBorder="1" applyAlignment="1" applyProtection="1">
      <alignment horizontal="center" vertical="center"/>
      <protection hidden="1"/>
    </xf>
    <xf numFmtId="0" fontId="28" fillId="13" borderId="2" xfId="0" applyFont="1" applyFill="1" applyBorder="1" applyAlignment="1" applyProtection="1">
      <alignment horizontal="center" vertical="center"/>
      <protection hidden="1"/>
    </xf>
    <xf numFmtId="0" fontId="105" fillId="0" borderId="0" xfId="0" applyFont="1" applyProtection="1">
      <alignment vertical="center"/>
      <protection hidden="1"/>
    </xf>
    <xf numFmtId="38" fontId="5" fillId="0" borderId="9" xfId="2" applyFont="1" applyBorder="1" applyAlignment="1" applyProtection="1">
      <alignment horizontal="center" vertical="center"/>
      <protection hidden="1"/>
    </xf>
    <xf numFmtId="0" fontId="28" fillId="8" borderId="9" xfId="0" applyFont="1" applyFill="1" applyBorder="1" applyAlignment="1" applyProtection="1">
      <alignment horizontal="center" vertical="center"/>
      <protection hidden="1"/>
    </xf>
    <xf numFmtId="0" fontId="23" fillId="0" borderId="0" xfId="0" applyFont="1" applyAlignment="1" applyProtection="1">
      <alignment horizontal="center" vertical="center"/>
      <protection hidden="1"/>
    </xf>
    <xf numFmtId="0" fontId="23" fillId="0" borderId="0" xfId="0" applyFont="1" applyAlignment="1" applyProtection="1">
      <alignment horizontal="right" vertical="center"/>
      <protection hidden="1"/>
    </xf>
    <xf numFmtId="0" fontId="28" fillId="6" borderId="2" xfId="1" applyNumberFormat="1" applyFont="1" applyFill="1" applyBorder="1" applyAlignment="1" applyProtection="1">
      <alignment horizontal="center" vertical="center"/>
      <protection hidden="1"/>
    </xf>
    <xf numFmtId="0" fontId="28" fillId="8" borderId="2" xfId="0" applyFont="1" applyFill="1" applyBorder="1" applyAlignment="1" applyProtection="1">
      <alignment horizontal="center" vertical="center"/>
      <protection hidden="1"/>
    </xf>
    <xf numFmtId="182" fontId="129" fillId="0" borderId="27" xfId="0" applyNumberFormat="1" applyFont="1" applyBorder="1" applyProtection="1">
      <alignment vertical="center"/>
      <protection locked="0"/>
    </xf>
    <xf numFmtId="0" fontId="5" fillId="0" borderId="0" xfId="0" applyFont="1" applyAlignment="1" applyProtection="1">
      <alignment vertical="center" wrapText="1"/>
      <protection hidden="1"/>
    </xf>
    <xf numFmtId="187" fontId="118" fillId="6" borderId="2" xfId="0" applyNumberFormat="1" applyFont="1" applyFill="1" applyBorder="1" applyAlignment="1" applyProtection="1">
      <alignment horizontal="center" vertical="center"/>
      <protection hidden="1"/>
    </xf>
    <xf numFmtId="187" fontId="118" fillId="0" borderId="0" xfId="0" applyNumberFormat="1" applyFont="1" applyAlignment="1" applyProtection="1">
      <alignment horizontal="center" vertical="center"/>
      <protection hidden="1"/>
    </xf>
    <xf numFmtId="0" fontId="126" fillId="0" borderId="0" xfId="0" applyFont="1" applyAlignment="1" applyProtection="1">
      <alignment horizontal="left"/>
      <protection hidden="1"/>
    </xf>
    <xf numFmtId="0" fontId="126" fillId="0" borderId="0" xfId="0" applyFont="1" applyProtection="1">
      <alignment vertical="center"/>
      <protection hidden="1"/>
    </xf>
    <xf numFmtId="0" fontId="125" fillId="0" borderId="0" xfId="0" applyFont="1" applyAlignment="1" applyProtection="1">
      <alignment horizontal="center" vertical="center"/>
      <protection hidden="1"/>
    </xf>
    <xf numFmtId="0" fontId="125" fillId="0" borderId="2" xfId="0" applyFont="1" applyBorder="1" applyAlignment="1" applyProtection="1">
      <alignment horizontal="center" vertical="center"/>
      <protection hidden="1"/>
    </xf>
    <xf numFmtId="9" fontId="125" fillId="0" borderId="0" xfId="1" applyFont="1" applyBorder="1" applyAlignment="1" applyProtection="1">
      <alignment horizontal="center" vertical="center"/>
      <protection hidden="1"/>
    </xf>
    <xf numFmtId="0" fontId="125" fillId="15" borderId="2" xfId="0" applyFont="1" applyFill="1" applyBorder="1" applyAlignment="1" applyProtection="1">
      <alignment horizontal="center" vertical="center"/>
      <protection hidden="1"/>
    </xf>
    <xf numFmtId="0" fontId="125" fillId="13" borderId="2" xfId="0" applyFont="1" applyFill="1" applyBorder="1" applyAlignment="1" applyProtection="1">
      <alignment horizontal="center" vertical="center"/>
      <protection hidden="1"/>
    </xf>
    <xf numFmtId="0" fontId="127" fillId="0" borderId="0" xfId="0" applyFont="1" applyProtection="1">
      <alignment vertical="center"/>
      <protection hidden="1"/>
    </xf>
    <xf numFmtId="0" fontId="125" fillId="8" borderId="2" xfId="0" applyFont="1" applyFill="1" applyBorder="1" applyAlignment="1" applyProtection="1">
      <alignment horizontal="center" vertical="center"/>
      <protection hidden="1"/>
    </xf>
    <xf numFmtId="0" fontId="0" fillId="0" borderId="0" xfId="0" applyAlignment="1">
      <alignment horizontal="right" vertical="center"/>
    </xf>
    <xf numFmtId="0" fontId="4" fillId="0" borderId="0" xfId="0" applyFont="1">
      <alignment vertical="center"/>
    </xf>
    <xf numFmtId="40" fontId="24" fillId="10" borderId="3" xfId="2" applyNumberFormat="1" applyFont="1" applyFill="1" applyBorder="1" applyAlignment="1" applyProtection="1">
      <alignment horizontal="center" vertical="center"/>
    </xf>
    <xf numFmtId="0" fontId="24" fillId="10" borderId="2" xfId="0" applyFont="1" applyFill="1" applyBorder="1" applyAlignment="1">
      <alignment horizontal="center" vertical="center"/>
    </xf>
    <xf numFmtId="0" fontId="24" fillId="6" borderId="3" xfId="0" applyFont="1" applyFill="1" applyBorder="1" applyAlignment="1">
      <alignment horizontal="center" vertical="center"/>
    </xf>
    <xf numFmtId="0" fontId="24" fillId="6" borderId="5" xfId="0" applyFont="1" applyFill="1" applyBorder="1" applyAlignment="1">
      <alignment horizontal="center" vertical="center"/>
    </xf>
    <xf numFmtId="0" fontId="28" fillId="6" borderId="2" xfId="0" applyFont="1" applyFill="1" applyBorder="1" applyAlignment="1">
      <alignment horizontal="center" vertical="center"/>
    </xf>
    <xf numFmtId="38" fontId="5" fillId="0" borderId="1" xfId="2" applyFont="1" applyBorder="1" applyAlignment="1" applyProtection="1">
      <alignment vertical="center" shrinkToFit="1"/>
    </xf>
    <xf numFmtId="40" fontId="5" fillId="0" borderId="18" xfId="2" applyNumberFormat="1" applyFont="1" applyBorder="1" applyAlignment="1" applyProtection="1">
      <alignment vertical="center" shrinkToFit="1"/>
    </xf>
    <xf numFmtId="38" fontId="5" fillId="0" borderId="18" xfId="2" applyFont="1" applyBorder="1" applyAlignment="1" applyProtection="1">
      <alignment vertical="center" shrinkToFit="1"/>
    </xf>
    <xf numFmtId="38" fontId="24" fillId="0" borderId="3" xfId="2" applyFont="1" applyBorder="1" applyProtection="1">
      <alignment vertical="center"/>
    </xf>
    <xf numFmtId="0" fontId="24" fillId="0" borderId="5" xfId="0" applyFont="1" applyBorder="1">
      <alignment vertical="center"/>
    </xf>
    <xf numFmtId="0" fontId="24" fillId="0" borderId="3" xfId="0" applyFont="1" applyBorder="1" applyAlignment="1">
      <alignment horizontal="center" vertical="center"/>
    </xf>
    <xf numFmtId="38" fontId="24" fillId="0" borderId="5" xfId="2" applyFont="1" applyBorder="1" applyProtection="1">
      <alignment vertical="center"/>
    </xf>
    <xf numFmtId="40" fontId="24" fillId="0" borderId="3" xfId="2" applyNumberFormat="1" applyFont="1" applyBorder="1" applyAlignment="1" applyProtection="1">
      <alignment horizontal="center" vertical="center"/>
    </xf>
    <xf numFmtId="38" fontId="5" fillId="0" borderId="2" xfId="2" applyFont="1" applyBorder="1" applyProtection="1">
      <alignment vertical="center"/>
    </xf>
    <xf numFmtId="0" fontId="0" fillId="0" borderId="1" xfId="0" applyBorder="1">
      <alignment vertical="center"/>
    </xf>
    <xf numFmtId="38" fontId="24" fillId="0" borderId="18" xfId="2" applyFont="1" applyBorder="1" applyProtection="1">
      <alignment vertical="center"/>
    </xf>
    <xf numFmtId="40" fontId="24" fillId="0" borderId="5" xfId="2" applyNumberFormat="1" applyFont="1" applyBorder="1" applyProtection="1">
      <alignment vertical="center"/>
    </xf>
    <xf numFmtId="38" fontId="24" fillId="0" borderId="1" xfId="2" applyFont="1" applyBorder="1" applyProtection="1">
      <alignment vertical="center"/>
    </xf>
    <xf numFmtId="40" fontId="24" fillId="0" borderId="5" xfId="2" applyNumberFormat="1" applyFont="1" applyBorder="1" applyAlignment="1" applyProtection="1">
      <alignment horizontal="right" vertical="center"/>
    </xf>
    <xf numFmtId="0" fontId="24" fillId="0" borderId="3" xfId="0" applyFont="1" applyBorder="1">
      <alignment vertical="center"/>
    </xf>
    <xf numFmtId="40" fontId="24" fillId="0" borderId="3" xfId="2" applyNumberFormat="1" applyFont="1" applyBorder="1" applyAlignment="1" applyProtection="1">
      <alignment horizontal="right" vertical="center"/>
    </xf>
    <xf numFmtId="38" fontId="29" fillId="0" borderId="0" xfId="2" applyFont="1" applyAlignment="1" applyProtection="1">
      <alignment horizontal="left" vertical="center"/>
    </xf>
    <xf numFmtId="38" fontId="24" fillId="0" borderId="6" xfId="2" applyFont="1" applyBorder="1" applyProtection="1">
      <alignment vertical="center"/>
    </xf>
    <xf numFmtId="38" fontId="24" fillId="0" borderId="19" xfId="2" applyFont="1" applyBorder="1" applyProtection="1">
      <alignment vertical="center"/>
    </xf>
    <xf numFmtId="38" fontId="29" fillId="0" borderId="0" xfId="2" applyFont="1" applyFill="1" applyAlignment="1" applyProtection="1">
      <alignment horizontal="right" vertical="center"/>
    </xf>
    <xf numFmtId="0" fontId="19" fillId="0" borderId="0" xfId="0" quotePrefix="1" applyFont="1" applyAlignment="1">
      <alignment horizontal="left" vertical="center"/>
    </xf>
    <xf numFmtId="38" fontId="5" fillId="0" borderId="6" xfId="2" applyFont="1" applyBorder="1" applyAlignment="1" applyProtection="1">
      <alignment vertical="center"/>
    </xf>
    <xf numFmtId="0" fontId="5" fillId="0" borderId="19" xfId="0" applyFont="1" applyBorder="1">
      <alignment vertical="center"/>
    </xf>
    <xf numFmtId="38" fontId="5" fillId="0" borderId="19" xfId="2" applyFont="1" applyBorder="1" applyAlignment="1" applyProtection="1">
      <alignment vertical="center"/>
    </xf>
    <xf numFmtId="38" fontId="0" fillId="0" borderId="0" xfId="2" applyFont="1" applyProtection="1">
      <alignment vertical="center"/>
    </xf>
    <xf numFmtId="0" fontId="5" fillId="10" borderId="2" xfId="0" applyFont="1" applyFill="1" applyBorder="1" applyAlignment="1">
      <alignment horizontal="center" vertical="center"/>
    </xf>
    <xf numFmtId="38" fontId="42" fillId="0" borderId="2" xfId="2" applyFont="1" applyFill="1" applyBorder="1" applyAlignment="1" applyProtection="1">
      <alignment horizontal="center" vertical="center"/>
    </xf>
    <xf numFmtId="0" fontId="24" fillId="10" borderId="66" xfId="0" applyFont="1" applyFill="1" applyBorder="1" applyAlignment="1">
      <alignment horizontal="center" vertical="center"/>
    </xf>
    <xf numFmtId="0" fontId="27" fillId="0" borderId="0" xfId="0" applyFont="1">
      <alignment vertical="center"/>
    </xf>
    <xf numFmtId="0" fontId="24" fillId="6" borderId="20" xfId="0" applyFont="1" applyFill="1" applyBorder="1">
      <alignment vertical="center"/>
    </xf>
    <xf numFmtId="0" fontId="70" fillId="6" borderId="14" xfId="0" applyFont="1" applyFill="1" applyBorder="1">
      <alignment vertical="center"/>
    </xf>
    <xf numFmtId="0" fontId="24" fillId="6" borderId="21" xfId="0" applyFont="1" applyFill="1" applyBorder="1">
      <alignment vertical="center"/>
    </xf>
    <xf numFmtId="0" fontId="24" fillId="6" borderId="22" xfId="0" applyFont="1" applyFill="1" applyBorder="1">
      <alignment vertical="center"/>
    </xf>
    <xf numFmtId="0" fontId="17" fillId="6" borderId="0" xfId="0" applyFont="1" applyFill="1">
      <alignment vertical="center"/>
    </xf>
    <xf numFmtId="0" fontId="70" fillId="6" borderId="0" xfId="0" applyFont="1" applyFill="1">
      <alignment vertical="center"/>
    </xf>
    <xf numFmtId="0" fontId="24" fillId="6" borderId="23" xfId="0" applyFont="1" applyFill="1" applyBorder="1">
      <alignment vertical="center"/>
    </xf>
    <xf numFmtId="0" fontId="24" fillId="6" borderId="24" xfId="0" applyFont="1" applyFill="1" applyBorder="1">
      <alignment vertical="center"/>
    </xf>
    <xf numFmtId="0" fontId="70" fillId="6" borderId="25" xfId="0" applyFont="1" applyFill="1" applyBorder="1">
      <alignment vertical="center"/>
    </xf>
    <xf numFmtId="0" fontId="24" fillId="6" borderId="26" xfId="0" applyFont="1" applyFill="1" applyBorder="1">
      <alignment vertical="center"/>
    </xf>
    <xf numFmtId="0" fontId="7" fillId="0" borderId="0" xfId="0" applyFont="1">
      <alignment vertical="center"/>
    </xf>
    <xf numFmtId="0" fontId="7" fillId="0" borderId="0" xfId="0" quotePrefix="1" applyFont="1" applyAlignment="1">
      <alignment horizontal="left"/>
    </xf>
    <xf numFmtId="55" fontId="0" fillId="0" borderId="0" xfId="0" applyNumberFormat="1">
      <alignment vertical="center"/>
    </xf>
    <xf numFmtId="0" fontId="14" fillId="0" borderId="0" xfId="0" applyFont="1">
      <alignment vertical="center"/>
    </xf>
    <xf numFmtId="0" fontId="8" fillId="0" borderId="0" xfId="0" applyFont="1" applyAlignment="1">
      <alignment horizontal="center" vertical="center"/>
    </xf>
    <xf numFmtId="0" fontId="45" fillId="0" borderId="0" xfId="0" applyFont="1">
      <alignment vertical="center"/>
    </xf>
    <xf numFmtId="0" fontId="58" fillId="0" borderId="0" xfId="0" applyFont="1" applyAlignment="1">
      <alignment horizontal="center" vertical="center"/>
    </xf>
    <xf numFmtId="0" fontId="96" fillId="0" borderId="0" xfId="0" applyFont="1">
      <alignment vertical="center"/>
    </xf>
    <xf numFmtId="0" fontId="108" fillId="0" borderId="0" xfId="0" applyFont="1">
      <alignment vertical="center"/>
    </xf>
    <xf numFmtId="0" fontId="108" fillId="0" borderId="0" xfId="0" applyFont="1" applyAlignment="1">
      <alignment vertical="center" wrapText="1"/>
    </xf>
    <xf numFmtId="0" fontId="24" fillId="0" borderId="0" xfId="0" applyFont="1" applyAlignment="1">
      <alignment horizontal="right" vertical="center"/>
    </xf>
    <xf numFmtId="0" fontId="54" fillId="0" borderId="0" xfId="0" applyFont="1" applyAlignment="1">
      <alignment vertical="center" wrapText="1"/>
    </xf>
    <xf numFmtId="0" fontId="24" fillId="6" borderId="2" xfId="0" applyFont="1" applyFill="1" applyBorder="1" applyAlignment="1">
      <alignment horizontal="center" vertical="center"/>
    </xf>
    <xf numFmtId="38" fontId="14" fillId="0" borderId="0" xfId="2" applyFont="1" applyFill="1" applyBorder="1" applyProtection="1">
      <alignment vertical="center"/>
    </xf>
    <xf numFmtId="38" fontId="5" fillId="6" borderId="2" xfId="2" applyFont="1" applyFill="1" applyBorder="1" applyAlignment="1" applyProtection="1">
      <alignment horizontal="center" vertical="center"/>
    </xf>
    <xf numFmtId="0" fontId="38" fillId="0" borderId="2" xfId="0" applyFont="1" applyBorder="1" applyAlignment="1">
      <alignment horizontal="center" vertical="center"/>
    </xf>
    <xf numFmtId="38" fontId="5" fillId="6" borderId="3" xfId="2" applyFont="1" applyFill="1" applyBorder="1" applyAlignment="1" applyProtection="1">
      <alignment horizontal="center" vertical="center"/>
    </xf>
    <xf numFmtId="0" fontId="23" fillId="0" borderId="0" xfId="0" applyFont="1" applyAlignment="1">
      <alignment horizontal="center" vertical="center"/>
    </xf>
    <xf numFmtId="0" fontId="23" fillId="0" borderId="0" xfId="0" applyFont="1" applyAlignment="1">
      <alignment horizontal="right" vertical="center"/>
    </xf>
    <xf numFmtId="0" fontId="14" fillId="0" borderId="0" xfId="0" applyFont="1" applyAlignment="1">
      <alignment horizontal="center" vertical="center"/>
    </xf>
    <xf numFmtId="38" fontId="23" fillId="0" borderId="0" xfId="2" applyFont="1" applyFill="1" applyBorder="1" applyAlignment="1" applyProtection="1">
      <alignment horizontal="center" vertical="center"/>
    </xf>
    <xf numFmtId="38" fontId="5" fillId="0" borderId="0" xfId="2" applyFont="1" applyFill="1" applyBorder="1" applyAlignment="1" applyProtection="1">
      <alignment horizontal="center" vertical="center"/>
    </xf>
    <xf numFmtId="0" fontId="28" fillId="0" borderId="0" xfId="0" applyFont="1" applyAlignment="1">
      <alignment horizontal="center" vertical="center"/>
    </xf>
    <xf numFmtId="0" fontId="5" fillId="22" borderId="52" xfId="0" applyFont="1" applyFill="1" applyBorder="1" applyAlignment="1">
      <alignment horizontal="center" vertical="center"/>
    </xf>
    <xf numFmtId="0" fontId="109" fillId="0" borderId="27" xfId="0" applyFont="1" applyBorder="1" applyAlignment="1">
      <alignment horizontal="left" vertical="center" wrapText="1"/>
    </xf>
    <xf numFmtId="0" fontId="106" fillId="16" borderId="70" xfId="0" applyFont="1" applyFill="1" applyBorder="1" applyAlignment="1">
      <alignment horizontal="center" vertical="center"/>
    </xf>
    <xf numFmtId="0" fontId="12" fillId="0" borderId="12" xfId="0" applyFont="1" applyBorder="1" applyAlignment="1">
      <alignment horizontal="center" vertical="center" wrapText="1"/>
    </xf>
    <xf numFmtId="0" fontId="28" fillId="0" borderId="12" xfId="0" applyFont="1" applyBorder="1" applyAlignment="1">
      <alignment horizontal="center" vertical="center" wrapText="1"/>
    </xf>
    <xf numFmtId="0" fontId="19" fillId="0" borderId="12" xfId="0" applyFont="1" applyBorder="1" applyAlignment="1">
      <alignment horizontal="center" vertical="center" wrapText="1"/>
    </xf>
    <xf numFmtId="0" fontId="5" fillId="0" borderId="12" xfId="0" applyFont="1" applyBorder="1" applyAlignment="1">
      <alignment horizontal="center" vertical="center" wrapText="1"/>
    </xf>
    <xf numFmtId="0" fontId="42" fillId="0" borderId="12" xfId="0" applyFont="1" applyBorder="1" applyAlignment="1">
      <alignment horizontal="center" vertical="center" wrapText="1"/>
    </xf>
    <xf numFmtId="0" fontId="42" fillId="0" borderId="32" xfId="0" applyFont="1" applyBorder="1" applyAlignment="1">
      <alignment horizontal="center" vertical="center" wrapText="1"/>
    </xf>
    <xf numFmtId="0" fontId="109" fillId="0" borderId="102" xfId="0" applyFont="1" applyBorder="1" applyAlignment="1">
      <alignment horizontal="left" vertical="center" wrapText="1"/>
    </xf>
    <xf numFmtId="38" fontId="24" fillId="0" borderId="0" xfId="0" applyNumberFormat="1" applyFont="1" applyAlignment="1">
      <alignment horizontal="center" vertical="center"/>
    </xf>
    <xf numFmtId="38" fontId="24" fillId="0" borderId="2" xfId="0" applyNumberFormat="1" applyFont="1" applyBorder="1" applyAlignment="1">
      <alignment horizontal="center" vertical="center"/>
    </xf>
    <xf numFmtId="38" fontId="24" fillId="0" borderId="32" xfId="0" applyNumberFormat="1" applyFont="1" applyBorder="1">
      <alignment vertical="center"/>
    </xf>
    <xf numFmtId="38" fontId="24" fillId="0" borderId="62" xfId="2" applyFont="1" applyFill="1" applyBorder="1" applyProtection="1">
      <alignment vertical="center"/>
    </xf>
    <xf numFmtId="38" fontId="24" fillId="0" borderId="51" xfId="0" applyNumberFormat="1" applyFont="1" applyBorder="1">
      <alignment vertical="center"/>
    </xf>
    <xf numFmtId="38" fontId="24" fillId="0" borderId="47" xfId="0" applyNumberFormat="1" applyFont="1" applyBorder="1">
      <alignment vertical="center"/>
    </xf>
    <xf numFmtId="38" fontId="24" fillId="0" borderId="51" xfId="2" applyFont="1" applyFill="1" applyBorder="1" applyProtection="1">
      <alignment vertical="center"/>
    </xf>
    <xf numFmtId="0" fontId="24" fillId="0" borderId="32" xfId="0" applyFont="1" applyBorder="1" applyAlignment="1">
      <alignment horizontal="center" vertical="center"/>
    </xf>
    <xf numFmtId="38" fontId="107" fillId="0" borderId="15" xfId="2" applyFont="1" applyBorder="1" applyAlignment="1" applyProtection="1">
      <alignment horizontal="center" vertical="center"/>
    </xf>
    <xf numFmtId="0" fontId="14" fillId="16" borderId="32" xfId="0" applyFont="1" applyFill="1" applyBorder="1" applyAlignment="1">
      <alignment horizontal="center" vertical="center"/>
    </xf>
    <xf numFmtId="38" fontId="24" fillId="0" borderId="47" xfId="0" applyNumberFormat="1" applyFont="1" applyBorder="1" applyAlignment="1">
      <alignment horizontal="center" vertical="center"/>
    </xf>
    <xf numFmtId="0" fontId="20" fillId="0" borderId="2" xfId="0" applyFont="1" applyBorder="1" applyAlignment="1">
      <alignment horizontal="center" vertical="center"/>
    </xf>
    <xf numFmtId="38" fontId="24" fillId="0" borderId="3" xfId="0" applyNumberFormat="1" applyFont="1" applyBorder="1" applyAlignment="1">
      <alignment horizontal="center" vertical="center"/>
    </xf>
    <xf numFmtId="38" fontId="24" fillId="0" borderId="3" xfId="0" applyNumberFormat="1" applyFont="1" applyBorder="1">
      <alignment vertical="center"/>
    </xf>
    <xf numFmtId="38" fontId="24" fillId="0" borderId="1" xfId="2" applyFont="1" applyFill="1" applyBorder="1" applyProtection="1">
      <alignment vertical="center"/>
    </xf>
    <xf numFmtId="38" fontId="24" fillId="0" borderId="54" xfId="0" applyNumberFormat="1" applyFont="1" applyBorder="1">
      <alignment vertical="center"/>
    </xf>
    <xf numFmtId="38" fontId="24" fillId="0" borderId="3" xfId="2" applyFont="1" applyFill="1" applyBorder="1" applyProtection="1">
      <alignment vertical="center"/>
    </xf>
    <xf numFmtId="38" fontId="24" fillId="0" borderId="18" xfId="2" applyFont="1" applyFill="1" applyBorder="1" applyProtection="1">
      <alignment vertical="center"/>
    </xf>
    <xf numFmtId="38" fontId="107" fillId="0" borderId="1" xfId="2" applyFont="1" applyBorder="1" applyAlignment="1" applyProtection="1">
      <alignment horizontal="center" vertical="center"/>
    </xf>
    <xf numFmtId="0" fontId="14" fillId="16" borderId="3" xfId="0" applyFont="1" applyFill="1" applyBorder="1" applyAlignment="1">
      <alignment horizontal="center" vertical="center"/>
    </xf>
    <xf numFmtId="38" fontId="107" fillId="0" borderId="6" xfId="2" applyFont="1" applyBorder="1" applyAlignment="1" applyProtection="1">
      <alignment horizontal="center" vertical="center"/>
    </xf>
    <xf numFmtId="0" fontId="45" fillId="0" borderId="0" xfId="0" applyFont="1" applyAlignment="1">
      <alignment horizontal="center" vertical="center"/>
    </xf>
    <xf numFmtId="0" fontId="100" fillId="0" borderId="15" xfId="0" applyFont="1" applyBorder="1">
      <alignment vertical="center"/>
    </xf>
    <xf numFmtId="0" fontId="100" fillId="0" borderId="1" xfId="0" applyFont="1" applyBorder="1">
      <alignment vertical="center"/>
    </xf>
    <xf numFmtId="0" fontId="100" fillId="0" borderId="0" xfId="0" applyFont="1">
      <alignment vertical="center"/>
    </xf>
    <xf numFmtId="187" fontId="46" fillId="0" borderId="2" xfId="0" applyNumberFormat="1" applyFont="1" applyBorder="1" applyAlignment="1">
      <alignment horizontal="center" vertical="center"/>
    </xf>
    <xf numFmtId="38" fontId="38" fillId="0" borderId="3" xfId="2" applyFont="1" applyFill="1" applyBorder="1" applyAlignment="1" applyProtection="1">
      <alignment horizontal="right" vertical="center"/>
    </xf>
    <xf numFmtId="38" fontId="38" fillId="0" borderId="5" xfId="2" applyFont="1" applyFill="1" applyBorder="1" applyAlignment="1" applyProtection="1">
      <alignment horizontal="center" vertical="center"/>
    </xf>
    <xf numFmtId="38" fontId="38" fillId="0" borderId="3" xfId="2" applyFont="1" applyBorder="1" applyAlignment="1" applyProtection="1">
      <alignment horizontal="right" vertical="center"/>
    </xf>
    <xf numFmtId="38" fontId="20" fillId="0" borderId="0" xfId="2" applyFont="1" applyFill="1" applyBorder="1" applyAlignment="1" applyProtection="1">
      <alignment horizontal="center" vertical="center"/>
    </xf>
    <xf numFmtId="0" fontId="42" fillId="0" borderId="0" xfId="0" applyFont="1" applyAlignment="1">
      <alignment vertical="center" wrapText="1"/>
    </xf>
    <xf numFmtId="0" fontId="12" fillId="6" borderId="27" xfId="0" applyFont="1" applyFill="1" applyBorder="1" applyAlignment="1">
      <alignment horizontal="center" vertical="center" wrapText="1"/>
    </xf>
    <xf numFmtId="0" fontId="12" fillId="6" borderId="71" xfId="0" applyFont="1" applyFill="1" applyBorder="1" applyAlignment="1">
      <alignment horizontal="center" vertical="center" wrapText="1"/>
    </xf>
    <xf numFmtId="0" fontId="28" fillId="6" borderId="27" xfId="0" applyFont="1" applyFill="1" applyBorder="1" applyAlignment="1">
      <alignment horizontal="center" vertical="center" wrapText="1"/>
    </xf>
    <xf numFmtId="0" fontId="28" fillId="6" borderId="71" xfId="0" applyFont="1" applyFill="1" applyBorder="1" applyAlignment="1">
      <alignment horizontal="center" vertical="center" wrapText="1"/>
    </xf>
    <xf numFmtId="0" fontId="5" fillId="6" borderId="27" xfId="0" applyFont="1" applyFill="1" applyBorder="1" applyAlignment="1">
      <alignment horizontal="center" vertical="center" wrapText="1"/>
    </xf>
    <xf numFmtId="0" fontId="5" fillId="6" borderId="43" xfId="0" applyFont="1" applyFill="1" applyBorder="1" applyAlignment="1">
      <alignment horizontal="center" vertical="center" wrapText="1"/>
    </xf>
    <xf numFmtId="0" fontId="5" fillId="6" borderId="42" xfId="0" applyFont="1" applyFill="1" applyBorder="1" applyAlignment="1">
      <alignment horizontal="center" vertical="center" wrapText="1"/>
    </xf>
    <xf numFmtId="0" fontId="42" fillId="6" borderId="52" xfId="0" applyFont="1" applyFill="1" applyBorder="1" applyAlignment="1">
      <alignment horizontal="center" vertical="center" wrapText="1"/>
    </xf>
    <xf numFmtId="0" fontId="106" fillId="16" borderId="69" xfId="0" applyFont="1" applyFill="1" applyBorder="1" applyAlignment="1">
      <alignment horizontal="center" vertical="center"/>
    </xf>
    <xf numFmtId="0" fontId="14" fillId="0" borderId="5" xfId="0" applyFont="1" applyBorder="1">
      <alignment vertical="center"/>
    </xf>
    <xf numFmtId="0" fontId="5" fillId="0" borderId="32" xfId="0" applyFont="1" applyBorder="1" applyAlignment="1">
      <alignment horizontal="center" vertical="center"/>
    </xf>
    <xf numFmtId="0" fontId="12" fillId="0" borderId="47" xfId="0" applyFont="1" applyBorder="1" applyAlignment="1">
      <alignment horizontal="center" vertical="center" wrapText="1"/>
    </xf>
    <xf numFmtId="0" fontId="12" fillId="0" borderId="33" xfId="0" applyFont="1" applyBorder="1" applyAlignment="1">
      <alignment horizontal="center" vertical="center" wrapText="1"/>
    </xf>
    <xf numFmtId="38" fontId="20" fillId="0" borderId="13" xfId="2" applyFont="1" applyFill="1" applyBorder="1" applyAlignment="1" applyProtection="1">
      <alignment horizontal="right" vertical="center"/>
    </xf>
    <xf numFmtId="38" fontId="24" fillId="0" borderId="66" xfId="0" applyNumberFormat="1" applyFont="1" applyBorder="1" applyAlignment="1">
      <alignment horizontal="right" vertical="center"/>
    </xf>
    <xf numFmtId="38" fontId="24" fillId="0" borderId="63" xfId="0" applyNumberFormat="1" applyFont="1" applyBorder="1">
      <alignment vertical="center"/>
    </xf>
    <xf numFmtId="0" fontId="107" fillId="0" borderId="17" xfId="0" applyFont="1" applyBorder="1" applyAlignment="1">
      <alignment horizontal="center" vertical="center"/>
    </xf>
    <xf numFmtId="0" fontId="0" fillId="0" borderId="34" xfId="0" applyBorder="1">
      <alignment vertical="center"/>
    </xf>
    <xf numFmtId="38" fontId="20" fillId="0" borderId="5" xfId="2" applyFont="1" applyFill="1" applyBorder="1" applyAlignment="1" applyProtection="1">
      <alignment horizontal="right" vertical="center"/>
    </xf>
    <xf numFmtId="38" fontId="24" fillId="0" borderId="12" xfId="0" applyNumberFormat="1" applyFont="1" applyBorder="1" applyAlignment="1">
      <alignment horizontal="right" vertical="center"/>
    </xf>
    <xf numFmtId="0" fontId="107" fillId="15" borderId="18" xfId="0" applyFont="1" applyFill="1" applyBorder="1" applyAlignment="1">
      <alignment horizontal="center" vertical="center"/>
    </xf>
    <xf numFmtId="0" fontId="0" fillId="0" borderId="59" xfId="0" applyBorder="1">
      <alignment vertical="center"/>
    </xf>
    <xf numFmtId="38" fontId="24" fillId="0" borderId="2" xfId="0" applyNumberFormat="1" applyFont="1" applyBorder="1" applyAlignment="1">
      <alignment horizontal="right" vertical="center"/>
    </xf>
    <xf numFmtId="0" fontId="107" fillId="13" borderId="18" xfId="0" applyFont="1" applyFill="1" applyBorder="1" applyAlignment="1">
      <alignment horizontal="center" vertical="center"/>
    </xf>
    <xf numFmtId="38" fontId="24" fillId="0" borderId="2" xfId="2" applyFont="1" applyFill="1" applyBorder="1" applyProtection="1">
      <alignment vertical="center"/>
    </xf>
    <xf numFmtId="0" fontId="107" fillId="14" borderId="18" xfId="0" applyFont="1" applyFill="1" applyBorder="1" applyAlignment="1">
      <alignment horizontal="center" vertical="center"/>
    </xf>
    <xf numFmtId="0" fontId="107" fillId="8" borderId="19" xfId="0" applyFont="1" applyFill="1" applyBorder="1" applyAlignment="1">
      <alignment horizontal="center" vertical="center"/>
    </xf>
    <xf numFmtId="0" fontId="0" fillId="0" borderId="104" xfId="0" applyBorder="1">
      <alignment vertical="center"/>
    </xf>
    <xf numFmtId="0" fontId="97" fillId="0" borderId="17" xfId="0" applyFont="1" applyBorder="1">
      <alignment vertical="center"/>
    </xf>
    <xf numFmtId="0" fontId="97" fillId="0" borderId="18" xfId="0" applyFont="1" applyBorder="1">
      <alignment vertical="center"/>
    </xf>
    <xf numFmtId="0" fontId="111" fillId="0" borderId="0" xfId="0" applyFont="1" applyAlignment="1">
      <alignment horizontal="center" vertical="center"/>
    </xf>
    <xf numFmtId="38" fontId="99" fillId="0" borderId="0" xfId="0" applyNumberFormat="1" applyFont="1" applyAlignment="1">
      <alignment horizontal="center" vertical="center"/>
    </xf>
    <xf numFmtId="0" fontId="14" fillId="0" borderId="0" xfId="0" applyFont="1" applyAlignment="1">
      <alignment horizontal="left" vertical="center"/>
    </xf>
    <xf numFmtId="38" fontId="24" fillId="0" borderId="36" xfId="0" applyNumberFormat="1" applyFont="1" applyBorder="1" applyAlignment="1">
      <alignment horizontal="center" vertical="center"/>
    </xf>
    <xf numFmtId="38" fontId="24" fillId="0" borderId="2" xfId="0" applyNumberFormat="1" applyFont="1" applyBorder="1">
      <alignment vertical="center"/>
    </xf>
    <xf numFmtId="0" fontId="84" fillId="0" borderId="0" xfId="0" applyFont="1" applyAlignment="1">
      <alignment horizontal="center" vertical="center"/>
    </xf>
    <xf numFmtId="0" fontId="0" fillId="15" borderId="0" xfId="0" applyFill="1">
      <alignment vertical="center"/>
    </xf>
    <xf numFmtId="0" fontId="88" fillId="0" borderId="0" xfId="0" applyFont="1">
      <alignment vertical="center"/>
    </xf>
    <xf numFmtId="0" fontId="81" fillId="0" borderId="0" xfId="0" applyFont="1" applyAlignment="1">
      <alignment horizontal="left" vertical="center"/>
    </xf>
    <xf numFmtId="0" fontId="86" fillId="0" borderId="0" xfId="0" applyFont="1">
      <alignment vertical="center"/>
    </xf>
    <xf numFmtId="0" fontId="83" fillId="0" borderId="0" xfId="0" applyFont="1" applyAlignment="1">
      <alignment horizontal="left" vertical="center"/>
    </xf>
    <xf numFmtId="0" fontId="48" fillId="0" borderId="0" xfId="0" applyFont="1">
      <alignment vertical="center"/>
    </xf>
    <xf numFmtId="0" fontId="89" fillId="0" borderId="0" xfId="0" applyFont="1" applyAlignment="1">
      <alignment horizontal="left" vertical="center"/>
    </xf>
    <xf numFmtId="0" fontId="81" fillId="15" borderId="0" xfId="0" applyFont="1" applyFill="1" applyAlignment="1">
      <alignment horizontal="left" vertical="center"/>
    </xf>
    <xf numFmtId="0" fontId="84" fillId="15" borderId="0" xfId="0" applyFont="1" applyFill="1" applyAlignment="1">
      <alignment horizontal="center" vertical="center"/>
    </xf>
    <xf numFmtId="0" fontId="49" fillId="15" borderId="0" xfId="0" applyFont="1" applyFill="1">
      <alignment vertical="center"/>
    </xf>
    <xf numFmtId="0" fontId="130" fillId="15" borderId="0" xfId="3" applyFont="1" applyFill="1" applyProtection="1">
      <alignment vertical="center"/>
    </xf>
    <xf numFmtId="0" fontId="81" fillId="9" borderId="0" xfId="0" applyFont="1" applyFill="1" applyAlignment="1">
      <alignment horizontal="left" vertical="center"/>
    </xf>
    <xf numFmtId="0" fontId="0" fillId="9" borderId="0" xfId="0" applyFill="1">
      <alignment vertical="center"/>
    </xf>
    <xf numFmtId="0" fontId="92" fillId="0" borderId="0" xfId="0" applyFont="1" applyAlignment="1">
      <alignment horizontal="center" vertical="center"/>
    </xf>
    <xf numFmtId="0" fontId="90" fillId="24" borderId="0" xfId="0" applyFont="1" applyFill="1">
      <alignment vertical="center"/>
    </xf>
    <xf numFmtId="0" fontId="91" fillId="24" borderId="0" xfId="0" applyFont="1" applyFill="1">
      <alignment vertical="center"/>
    </xf>
    <xf numFmtId="0" fontId="0" fillId="24" borderId="0" xfId="0" applyFill="1">
      <alignment vertical="center"/>
    </xf>
    <xf numFmtId="0" fontId="42" fillId="0" borderId="0" xfId="0" applyFont="1">
      <alignment vertical="center"/>
    </xf>
    <xf numFmtId="0" fontId="90" fillId="0" borderId="0" xfId="0" applyFont="1">
      <alignment vertical="center"/>
    </xf>
    <xf numFmtId="0" fontId="20" fillId="9" borderId="0" xfId="0" applyFont="1" applyFill="1">
      <alignment vertical="center"/>
    </xf>
    <xf numFmtId="0" fontId="20" fillId="0" borderId="0" xfId="0" applyFont="1">
      <alignment vertical="center"/>
    </xf>
    <xf numFmtId="0" fontId="19" fillId="0" borderId="0" xfId="0" applyFont="1">
      <alignment vertical="center"/>
    </xf>
    <xf numFmtId="0" fontId="91" fillId="0" borderId="0" xfId="0" applyFont="1">
      <alignment vertical="center"/>
    </xf>
    <xf numFmtId="38" fontId="79" fillId="0" borderId="0" xfId="2" applyFont="1" applyBorder="1" applyAlignment="1" applyProtection="1">
      <alignment horizontal="left" vertical="center"/>
    </xf>
    <xf numFmtId="0" fontId="94" fillId="0" borderId="0" xfId="0" applyFont="1">
      <alignment vertical="center"/>
    </xf>
    <xf numFmtId="0" fontId="36" fillId="0" borderId="0" xfId="0" applyFont="1" applyAlignment="1">
      <alignment horizontal="left" vertical="center"/>
    </xf>
    <xf numFmtId="0" fontId="41" fillId="0" borderId="0" xfId="0" applyFont="1">
      <alignment vertical="center"/>
    </xf>
    <xf numFmtId="0" fontId="0" fillId="0" borderId="0" xfId="0" applyAlignment="1">
      <alignment horizontal="left" vertical="center"/>
    </xf>
    <xf numFmtId="0" fontId="54" fillId="0" borderId="0" xfId="0" applyFont="1">
      <alignment vertical="center"/>
    </xf>
    <xf numFmtId="0" fontId="51" fillId="0" borderId="0" xfId="0" applyFont="1" applyAlignment="1">
      <alignment horizontal="center" vertical="center"/>
    </xf>
    <xf numFmtId="0" fontId="22" fillId="0" borderId="0" xfId="0" applyFont="1">
      <alignment vertical="center"/>
    </xf>
    <xf numFmtId="38" fontId="0" fillId="0" borderId="0" xfId="0" applyNumberFormat="1">
      <alignment vertical="center"/>
    </xf>
    <xf numFmtId="0" fontId="50" fillId="0" borderId="0" xfId="3" applyFont="1" applyFill="1" applyProtection="1">
      <alignment vertical="center"/>
    </xf>
    <xf numFmtId="10" fontId="37" fillId="0" borderId="0" xfId="0" applyNumberFormat="1" applyFont="1" applyAlignment="1">
      <alignment horizontal="center" vertical="center"/>
    </xf>
    <xf numFmtId="0" fontId="28" fillId="0" borderId="0" xfId="0" applyFont="1">
      <alignment vertical="center"/>
    </xf>
    <xf numFmtId="184" fontId="42" fillId="0" borderId="0" xfId="0" applyNumberFormat="1" applyFont="1">
      <alignment vertical="center"/>
    </xf>
    <xf numFmtId="184" fontId="42" fillId="0" borderId="0" xfId="0" applyNumberFormat="1" applyFont="1" applyAlignment="1">
      <alignment horizontal="right" vertical="center"/>
    </xf>
    <xf numFmtId="10" fontId="42" fillId="0" borderId="0" xfId="0" applyNumberFormat="1" applyFont="1" applyAlignment="1">
      <alignment horizontal="center" vertical="center"/>
    </xf>
    <xf numFmtId="181" fontId="19" fillId="0" borderId="0" xfId="0" applyNumberFormat="1" applyFont="1" applyAlignment="1">
      <alignment horizontal="center" vertical="center"/>
    </xf>
    <xf numFmtId="181" fontId="0" fillId="0" borderId="0" xfId="0" applyNumberFormat="1" applyAlignment="1">
      <alignment horizontal="center" vertical="center"/>
    </xf>
    <xf numFmtId="0" fontId="80" fillId="0" borderId="0" xfId="0" applyFont="1">
      <alignment vertical="center"/>
    </xf>
    <xf numFmtId="0" fontId="85" fillId="0" borderId="0" xfId="0" applyFont="1" applyAlignment="1">
      <alignment horizontal="center" vertical="center"/>
    </xf>
    <xf numFmtId="0" fontId="19" fillId="9" borderId="0" xfId="0" applyFont="1" applyFill="1">
      <alignment vertical="center"/>
    </xf>
    <xf numFmtId="0" fontId="90" fillId="11" borderId="0" xfId="0" applyFont="1" applyFill="1">
      <alignment vertical="center"/>
    </xf>
    <xf numFmtId="0" fontId="0" fillId="11" borderId="0" xfId="0" applyFill="1">
      <alignment vertical="center"/>
    </xf>
    <xf numFmtId="0" fontId="93" fillId="0" borderId="0" xfId="0" applyFont="1">
      <alignment vertical="center"/>
    </xf>
    <xf numFmtId="0" fontId="39" fillId="0" borderId="0" xfId="0" applyFont="1">
      <alignment vertical="center"/>
    </xf>
    <xf numFmtId="0" fontId="90" fillId="30" borderId="0" xfId="0" applyFont="1" applyFill="1">
      <alignment vertical="center"/>
    </xf>
    <xf numFmtId="0" fontId="0" fillId="30" borderId="0" xfId="0" applyFill="1">
      <alignment vertical="center"/>
    </xf>
    <xf numFmtId="0" fontId="20" fillId="31" borderId="0" xfId="0" applyFont="1" applyFill="1">
      <alignment vertical="center"/>
    </xf>
    <xf numFmtId="0" fontId="19" fillId="31" borderId="0" xfId="0" applyFont="1" applyFill="1">
      <alignment vertical="center"/>
    </xf>
    <xf numFmtId="0" fontId="20" fillId="32" borderId="0" xfId="0" applyFont="1" applyFill="1">
      <alignment vertical="center"/>
    </xf>
    <xf numFmtId="0" fontId="19" fillId="32" borderId="0" xfId="0" applyFont="1" applyFill="1">
      <alignment vertical="center"/>
    </xf>
    <xf numFmtId="0" fontId="91" fillId="11" borderId="0" xfId="0" applyFont="1" applyFill="1">
      <alignment vertical="center"/>
    </xf>
    <xf numFmtId="0" fontId="20" fillId="12" borderId="0" xfId="0" applyFont="1" applyFill="1">
      <alignment vertical="center"/>
    </xf>
    <xf numFmtId="0" fontId="0" fillId="12" borderId="0" xfId="0" applyFill="1">
      <alignment vertical="center"/>
    </xf>
    <xf numFmtId="0" fontId="87" fillId="23" borderId="0" xfId="0" applyFont="1" applyFill="1" applyAlignment="1">
      <alignment horizontal="center" vertical="center"/>
    </xf>
    <xf numFmtId="0" fontId="32" fillId="8" borderId="37" xfId="0" applyFont="1" applyFill="1" applyBorder="1" applyAlignment="1" applyProtection="1">
      <alignment horizontal="center" vertical="center" wrapText="1"/>
      <protection locked="0"/>
    </xf>
    <xf numFmtId="0" fontId="32" fillId="8" borderId="33" xfId="0" applyFont="1" applyFill="1" applyBorder="1" applyAlignment="1" applyProtection="1">
      <alignment horizontal="center" vertical="center" wrapText="1"/>
      <protection locked="0"/>
    </xf>
    <xf numFmtId="0" fontId="32" fillId="7" borderId="10" xfId="0" applyFont="1" applyFill="1" applyBorder="1" applyAlignment="1" applyProtection="1">
      <alignment horizontal="center" vertical="center" wrapText="1"/>
      <protection locked="0"/>
    </xf>
    <xf numFmtId="0" fontId="32" fillId="7" borderId="46" xfId="0" applyFont="1" applyFill="1" applyBorder="1" applyAlignment="1" applyProtection="1">
      <alignment horizontal="center" vertical="center" wrapText="1"/>
      <protection locked="0"/>
    </xf>
    <xf numFmtId="0" fontId="32" fillId="7" borderId="37" xfId="0" applyFont="1" applyFill="1" applyBorder="1" applyAlignment="1" applyProtection="1">
      <alignment horizontal="center" vertical="center" wrapText="1"/>
      <protection locked="0"/>
    </xf>
    <xf numFmtId="0" fontId="32" fillId="7" borderId="9" xfId="0" applyFont="1" applyFill="1" applyBorder="1" applyAlignment="1" applyProtection="1">
      <alignment horizontal="center" vertical="center" wrapText="1"/>
      <protection locked="0"/>
    </xf>
    <xf numFmtId="0" fontId="32" fillId="7" borderId="12" xfId="0" applyFont="1" applyFill="1" applyBorder="1" applyAlignment="1" applyProtection="1">
      <alignment horizontal="center" vertical="center" wrapText="1"/>
      <protection locked="0"/>
    </xf>
    <xf numFmtId="0" fontId="32" fillId="8" borderId="2" xfId="0" applyFont="1" applyFill="1" applyBorder="1" applyAlignment="1" applyProtection="1">
      <alignment horizontal="center" vertical="center" wrapText="1"/>
      <protection locked="0"/>
    </xf>
    <xf numFmtId="0" fontId="32" fillId="9" borderId="28" xfId="0" applyFont="1" applyFill="1" applyBorder="1" applyAlignment="1" applyProtection="1">
      <alignment horizontal="center" vertical="center" wrapText="1"/>
      <protection locked="0"/>
    </xf>
    <xf numFmtId="0" fontId="32" fillId="9" borderId="66" xfId="0" applyFont="1" applyFill="1" applyBorder="1" applyAlignment="1" applyProtection="1">
      <alignment horizontal="center" vertical="center" wrapText="1"/>
      <protection locked="0"/>
    </xf>
    <xf numFmtId="0" fontId="32" fillId="8" borderId="28" xfId="0" applyFont="1" applyFill="1" applyBorder="1" applyAlignment="1" applyProtection="1">
      <alignment horizontal="center" vertical="center" wrapText="1"/>
      <protection locked="0"/>
    </xf>
    <xf numFmtId="0" fontId="32" fillId="8" borderId="66" xfId="0" applyFont="1" applyFill="1" applyBorder="1" applyAlignment="1" applyProtection="1">
      <alignment horizontal="center" vertical="center" wrapText="1"/>
      <protection locked="0"/>
    </xf>
    <xf numFmtId="0" fontId="32" fillId="14" borderId="28" xfId="0" applyFont="1" applyFill="1" applyBorder="1" applyAlignment="1" applyProtection="1">
      <alignment horizontal="center" vertical="center" wrapText="1"/>
      <protection locked="0"/>
    </xf>
    <xf numFmtId="0" fontId="32" fillId="14" borderId="66" xfId="0" applyFont="1" applyFill="1" applyBorder="1" applyAlignment="1" applyProtection="1">
      <alignment horizontal="center" vertical="center" wrapText="1"/>
      <protection locked="0"/>
    </xf>
    <xf numFmtId="0" fontId="46" fillId="16" borderId="28" xfId="0" applyFont="1" applyFill="1" applyBorder="1" applyAlignment="1">
      <alignment horizontal="center" vertical="center"/>
    </xf>
    <xf numFmtId="0" fontId="46" fillId="16" borderId="66" xfId="0" applyFont="1" applyFill="1" applyBorder="1" applyAlignment="1">
      <alignment horizontal="center" vertical="center"/>
    </xf>
    <xf numFmtId="0" fontId="69" fillId="7" borderId="3" xfId="0" applyFont="1" applyFill="1" applyBorder="1" applyAlignment="1" applyProtection="1">
      <alignment horizontal="center" vertical="center" wrapText="1"/>
      <protection locked="0"/>
    </xf>
    <xf numFmtId="0" fontId="69" fillId="7" borderId="4" xfId="0" applyFont="1" applyFill="1" applyBorder="1" applyAlignment="1" applyProtection="1">
      <alignment horizontal="center" vertical="center" wrapText="1"/>
      <protection locked="0"/>
    </xf>
    <xf numFmtId="0" fontId="69" fillId="7" borderId="5" xfId="0" applyFont="1" applyFill="1" applyBorder="1" applyAlignment="1" applyProtection="1">
      <alignment horizontal="center" vertical="center" wrapText="1"/>
      <protection locked="0"/>
    </xf>
    <xf numFmtId="37" fontId="32" fillId="3" borderId="2" xfId="4" applyFont="1" applyFill="1" applyBorder="1" applyAlignment="1" applyProtection="1">
      <alignment horizontal="center" vertical="center"/>
      <protection locked="0"/>
    </xf>
    <xf numFmtId="183" fontId="34" fillId="0" borderId="3" xfId="4" applyNumberFormat="1" applyFont="1" applyBorder="1" applyAlignment="1" applyProtection="1">
      <alignment horizontal="center" vertical="center"/>
      <protection locked="0"/>
    </xf>
    <xf numFmtId="183" fontId="34" fillId="0" borderId="4" xfId="4" applyNumberFormat="1" applyFont="1" applyBorder="1" applyAlignment="1" applyProtection="1">
      <alignment horizontal="center" vertical="center"/>
      <protection locked="0"/>
    </xf>
    <xf numFmtId="183" fontId="34" fillId="0" borderId="5" xfId="4" applyNumberFormat="1" applyFont="1" applyBorder="1" applyAlignment="1" applyProtection="1">
      <alignment horizontal="center" vertical="center"/>
      <protection locked="0"/>
    </xf>
    <xf numFmtId="0" fontId="64" fillId="7" borderId="9" xfId="0" applyFont="1" applyFill="1" applyBorder="1" applyAlignment="1" applyProtection="1">
      <alignment horizontal="center" vertical="center"/>
      <protection locked="0"/>
    </xf>
    <xf numFmtId="0" fontId="64" fillId="7" borderId="12" xfId="0" applyFont="1" applyFill="1" applyBorder="1" applyAlignment="1" applyProtection="1">
      <alignment horizontal="center" vertical="center"/>
      <protection locked="0"/>
    </xf>
    <xf numFmtId="0" fontId="70" fillId="7" borderId="2" xfId="0" applyFont="1" applyFill="1" applyBorder="1" applyAlignment="1" applyProtection="1">
      <alignment horizontal="center" vertical="center" wrapText="1"/>
      <protection locked="0"/>
    </xf>
    <xf numFmtId="0" fontId="70" fillId="7" borderId="2" xfId="0" applyFont="1" applyFill="1" applyBorder="1" applyAlignment="1" applyProtection="1">
      <alignment horizontal="center" vertical="center"/>
      <protection locked="0"/>
    </xf>
    <xf numFmtId="0" fontId="32" fillId="7" borderId="2" xfId="0" applyFont="1" applyFill="1" applyBorder="1" applyAlignment="1" applyProtection="1">
      <alignment horizontal="center" vertical="center" wrapText="1"/>
      <protection locked="0"/>
    </xf>
    <xf numFmtId="0" fontId="32" fillId="7" borderId="2" xfId="0" applyFont="1" applyFill="1" applyBorder="1" applyAlignment="1" applyProtection="1">
      <alignment horizontal="center" vertical="center"/>
      <protection locked="0"/>
    </xf>
    <xf numFmtId="0" fontId="32" fillId="7" borderId="12" xfId="0" applyFont="1" applyFill="1" applyBorder="1" applyAlignment="1" applyProtection="1">
      <alignment horizontal="center" vertical="center"/>
      <protection locked="0"/>
    </xf>
    <xf numFmtId="0" fontId="32" fillId="8" borderId="5" xfId="0" applyFont="1" applyFill="1" applyBorder="1" applyAlignment="1" applyProtection="1">
      <alignment horizontal="center" vertical="center"/>
      <protection locked="0"/>
    </xf>
    <xf numFmtId="0" fontId="32" fillId="8" borderId="2" xfId="0" applyFont="1" applyFill="1" applyBorder="1" applyAlignment="1" applyProtection="1">
      <alignment horizontal="center" vertical="center"/>
      <protection locked="0"/>
    </xf>
    <xf numFmtId="31" fontId="52" fillId="0" borderId="0" xfId="0" applyNumberFormat="1" applyFont="1" applyAlignment="1" applyProtection="1">
      <alignment horizontal="left" vertical="center"/>
      <protection locked="0"/>
    </xf>
    <xf numFmtId="0" fontId="4" fillId="6" borderId="27" xfId="0" applyFont="1" applyFill="1" applyBorder="1" applyAlignment="1" applyProtection="1">
      <alignment horizontal="center" vertical="center"/>
      <protection locked="0"/>
    </xf>
    <xf numFmtId="0" fontId="4" fillId="6" borderId="52" xfId="0" applyFont="1" applyFill="1" applyBorder="1" applyAlignment="1" applyProtection="1">
      <alignment horizontal="center" vertical="center"/>
      <protection locked="0"/>
    </xf>
    <xf numFmtId="0" fontId="46" fillId="7" borderId="52" xfId="0" applyFont="1" applyFill="1" applyBorder="1" applyAlignment="1" applyProtection="1">
      <alignment horizontal="center" vertical="center"/>
      <protection locked="0"/>
    </xf>
    <xf numFmtId="0" fontId="46" fillId="7" borderId="61" xfId="0" applyFont="1" applyFill="1" applyBorder="1" applyAlignment="1" applyProtection="1">
      <alignment horizontal="center" vertical="center"/>
      <protection locked="0"/>
    </xf>
    <xf numFmtId="0" fontId="46" fillId="7" borderId="71" xfId="0" applyFont="1" applyFill="1" applyBorder="1" applyAlignment="1" applyProtection="1">
      <alignment horizontal="center" vertical="center"/>
      <protection locked="0"/>
    </xf>
    <xf numFmtId="0" fontId="4" fillId="7" borderId="27" xfId="0" applyFont="1" applyFill="1" applyBorder="1" applyAlignment="1" applyProtection="1">
      <alignment horizontal="center" vertical="center"/>
      <protection locked="0"/>
    </xf>
    <xf numFmtId="0" fontId="4" fillId="7" borderId="27" xfId="0" applyFont="1" applyFill="1" applyBorder="1" applyAlignment="1" applyProtection="1">
      <alignment horizontal="center" vertical="top" wrapText="1"/>
      <protection locked="0"/>
    </xf>
    <xf numFmtId="0" fontId="24" fillId="7" borderId="52" xfId="0" applyFont="1" applyFill="1" applyBorder="1" applyAlignment="1" applyProtection="1">
      <alignment horizontal="center" vertical="center"/>
      <protection locked="0"/>
    </xf>
    <xf numFmtId="0" fontId="24" fillId="7" borderId="71" xfId="0" applyFont="1" applyFill="1" applyBorder="1" applyAlignment="1" applyProtection="1">
      <alignment horizontal="center" vertical="center"/>
      <protection locked="0"/>
    </xf>
    <xf numFmtId="0" fontId="5" fillId="7" borderId="2" xfId="0" applyFont="1" applyFill="1" applyBorder="1" applyAlignment="1">
      <alignment horizontal="center" vertical="center" wrapText="1"/>
    </xf>
    <xf numFmtId="0" fontId="5" fillId="7" borderId="2" xfId="0" applyFont="1" applyFill="1" applyBorder="1" applyAlignment="1">
      <alignment horizontal="center" vertical="center"/>
    </xf>
    <xf numFmtId="0" fontId="28" fillId="0" borderId="76" xfId="0" applyFont="1" applyBorder="1" applyAlignment="1">
      <alignment horizontal="left" vertical="center" wrapText="1"/>
    </xf>
    <xf numFmtId="0" fontId="28" fillId="0" borderId="77" xfId="0" applyFont="1" applyBorder="1" applyAlignment="1">
      <alignment horizontal="left" vertical="center" wrapText="1"/>
    </xf>
    <xf numFmtId="0" fontId="28" fillId="0" borderId="78" xfId="0" applyFont="1" applyBorder="1" applyAlignment="1">
      <alignment horizontal="left" vertical="center" wrapText="1"/>
    </xf>
    <xf numFmtId="0" fontId="28" fillId="16" borderId="9" xfId="0" applyFont="1" applyFill="1" applyBorder="1" applyAlignment="1">
      <alignment horizontal="left" vertical="center" wrapText="1"/>
    </xf>
    <xf numFmtId="0" fontId="28" fillId="16" borderId="12" xfId="0" applyFont="1" applyFill="1" applyBorder="1" applyAlignment="1">
      <alignment horizontal="left" vertical="center"/>
    </xf>
    <xf numFmtId="0" fontId="20" fillId="16" borderId="2" xfId="0" applyFont="1" applyFill="1" applyBorder="1" applyAlignment="1">
      <alignment horizontal="center" vertical="center"/>
    </xf>
    <xf numFmtId="0" fontId="28" fillId="6" borderId="9" xfId="0" applyFont="1" applyFill="1" applyBorder="1" applyAlignment="1">
      <alignment horizontal="center" vertical="center" wrapText="1"/>
    </xf>
    <xf numFmtId="0" fontId="28" fillId="6" borderId="38" xfId="0" applyFont="1" applyFill="1" applyBorder="1" applyAlignment="1">
      <alignment horizontal="center" vertical="center" wrapText="1"/>
    </xf>
    <xf numFmtId="0" fontId="28" fillId="6" borderId="12" xfId="0" applyFont="1" applyFill="1" applyBorder="1" applyAlignment="1">
      <alignment horizontal="center" vertical="center" wrapText="1"/>
    </xf>
    <xf numFmtId="0" fontId="20" fillId="16" borderId="9" xfId="0" applyFont="1" applyFill="1" applyBorder="1" applyAlignment="1">
      <alignment horizontal="center" vertical="center"/>
    </xf>
    <xf numFmtId="0" fontId="20" fillId="16" borderId="38" xfId="0" applyFont="1" applyFill="1" applyBorder="1" applyAlignment="1">
      <alignment horizontal="center" vertical="center"/>
    </xf>
    <xf numFmtId="0" fontId="20" fillId="16" borderId="12" xfId="0" applyFont="1" applyFill="1" applyBorder="1" applyAlignment="1">
      <alignment horizontal="center" vertical="center"/>
    </xf>
    <xf numFmtId="0" fontId="28" fillId="16" borderId="9" xfId="0" applyFont="1" applyFill="1" applyBorder="1" applyAlignment="1">
      <alignment horizontal="center" vertical="center" wrapText="1"/>
    </xf>
    <xf numFmtId="0" fontId="28" fillId="16" borderId="38" xfId="0" applyFont="1" applyFill="1" applyBorder="1" applyAlignment="1">
      <alignment horizontal="center" vertical="center" wrapText="1"/>
    </xf>
    <xf numFmtId="0" fontId="28" fillId="16" borderId="38" xfId="0" applyFont="1" applyFill="1" applyBorder="1" applyAlignment="1">
      <alignment horizontal="center" vertical="center"/>
    </xf>
    <xf numFmtId="0" fontId="28" fillId="16" borderId="12" xfId="0" applyFont="1" applyFill="1" applyBorder="1" applyAlignment="1">
      <alignment horizontal="center" vertical="center"/>
    </xf>
    <xf numFmtId="0" fontId="28" fillId="16" borderId="2" xfId="0" applyFont="1" applyFill="1" applyBorder="1" applyAlignment="1">
      <alignment horizontal="center" vertical="center" wrapText="1"/>
    </xf>
    <xf numFmtId="0" fontId="28" fillId="16" borderId="2" xfId="0" applyFont="1" applyFill="1" applyBorder="1" applyAlignment="1">
      <alignment horizontal="center" vertical="center"/>
    </xf>
    <xf numFmtId="0" fontId="24" fillId="7" borderId="31" xfId="0" applyFont="1" applyFill="1" applyBorder="1" applyAlignment="1" applyProtection="1">
      <alignment horizontal="center" vertical="center"/>
      <protection hidden="1"/>
    </xf>
    <xf numFmtId="0" fontId="24" fillId="7" borderId="0" xfId="0" applyFont="1" applyFill="1" applyAlignment="1" applyProtection="1">
      <alignment horizontal="center" vertical="center"/>
      <protection hidden="1"/>
    </xf>
    <xf numFmtId="0" fontId="24" fillId="7" borderId="102" xfId="0" applyFont="1" applyFill="1" applyBorder="1" applyAlignment="1" applyProtection="1">
      <alignment horizontal="center" vertical="center"/>
      <protection hidden="1"/>
    </xf>
    <xf numFmtId="0" fontId="99" fillId="16" borderId="2" xfId="0" applyFont="1" applyFill="1" applyBorder="1" applyAlignment="1" applyProtection="1">
      <alignment horizontal="center" vertical="center"/>
      <protection hidden="1"/>
    </xf>
    <xf numFmtId="0" fontId="100" fillId="16" borderId="2" xfId="0" applyFont="1" applyFill="1" applyBorder="1" applyAlignment="1" applyProtection="1">
      <alignment horizontal="center" vertical="center"/>
      <protection hidden="1"/>
    </xf>
    <xf numFmtId="0" fontId="102" fillId="16" borderId="2" xfId="0" applyFont="1" applyFill="1" applyBorder="1" applyAlignment="1" applyProtection="1">
      <alignment horizontal="center" vertical="center"/>
      <protection hidden="1"/>
    </xf>
    <xf numFmtId="0" fontId="42" fillId="20" borderId="28" xfId="0" applyFont="1" applyFill="1" applyBorder="1" applyAlignment="1" applyProtection="1">
      <alignment horizontal="center" vertical="center" wrapText="1"/>
      <protection hidden="1"/>
    </xf>
    <xf numFmtId="0" fontId="42" fillId="20" borderId="66" xfId="0" applyFont="1" applyFill="1" applyBorder="1" applyAlignment="1" applyProtection="1">
      <alignment horizontal="center" vertical="center" wrapText="1"/>
      <protection hidden="1"/>
    </xf>
    <xf numFmtId="0" fontId="100" fillId="16" borderId="2" xfId="0" applyFont="1" applyFill="1" applyBorder="1" applyAlignment="1" applyProtection="1">
      <alignment horizontal="center" vertical="center" wrapText="1"/>
      <protection hidden="1"/>
    </xf>
    <xf numFmtId="0" fontId="100" fillId="16" borderId="9" xfId="0" applyFont="1" applyFill="1" applyBorder="1" applyAlignment="1" applyProtection="1">
      <alignment horizontal="center" vertical="center" wrapText="1"/>
      <protection hidden="1"/>
    </xf>
    <xf numFmtId="0" fontId="100" fillId="16" borderId="12" xfId="0" applyFont="1" applyFill="1" applyBorder="1" applyAlignment="1" applyProtection="1">
      <alignment horizontal="center" vertical="center" wrapText="1"/>
      <protection hidden="1"/>
    </xf>
    <xf numFmtId="0" fontId="24" fillId="7" borderId="52" xfId="0" applyFont="1" applyFill="1" applyBorder="1" applyAlignment="1" applyProtection="1">
      <alignment horizontal="center" vertical="center"/>
      <protection hidden="1"/>
    </xf>
    <xf numFmtId="0" fontId="24" fillId="7" borderId="61" xfId="0" applyFont="1" applyFill="1" applyBorder="1" applyAlignment="1" applyProtection="1">
      <alignment horizontal="center" vertical="center"/>
      <protection hidden="1"/>
    </xf>
    <xf numFmtId="0" fontId="24" fillId="7" borderId="71" xfId="0" applyFont="1" applyFill="1" applyBorder="1" applyAlignment="1" applyProtection="1">
      <alignment horizontal="center" vertical="center"/>
      <protection hidden="1"/>
    </xf>
    <xf numFmtId="0" fontId="5" fillId="0" borderId="0" xfId="0" applyFont="1" applyAlignment="1" applyProtection="1">
      <alignment horizontal="center" vertical="center"/>
      <protection hidden="1"/>
    </xf>
    <xf numFmtId="0" fontId="5" fillId="17" borderId="2" xfId="0" applyFont="1" applyFill="1" applyBorder="1" applyAlignment="1" applyProtection="1">
      <alignment horizontal="center" vertical="center"/>
      <protection hidden="1"/>
    </xf>
    <xf numFmtId="176" fontId="38" fillId="0" borderId="41" xfId="1" applyNumberFormat="1" applyFont="1" applyFill="1" applyBorder="1" applyAlignment="1" applyProtection="1">
      <alignment horizontal="center" vertical="center"/>
      <protection locked="0"/>
    </xf>
    <xf numFmtId="176" fontId="38" fillId="0" borderId="44" xfId="1" applyNumberFormat="1" applyFont="1" applyFill="1" applyBorder="1" applyAlignment="1" applyProtection="1">
      <alignment horizontal="center" vertical="center"/>
      <protection locked="0"/>
    </xf>
    <xf numFmtId="0" fontId="23" fillId="6" borderId="20" xfId="0" applyFont="1" applyFill="1" applyBorder="1" applyAlignment="1" applyProtection="1">
      <alignment horizontal="center" vertical="center" wrapText="1"/>
      <protection hidden="1"/>
    </xf>
    <xf numFmtId="0" fontId="23" fillId="6" borderId="21" xfId="0" applyFont="1" applyFill="1" applyBorder="1" applyAlignment="1" applyProtection="1">
      <alignment horizontal="center" vertical="center"/>
      <protection hidden="1"/>
    </xf>
    <xf numFmtId="0" fontId="23" fillId="6" borderId="22" xfId="0" applyFont="1" applyFill="1" applyBorder="1" applyAlignment="1" applyProtection="1">
      <alignment horizontal="center" vertical="center"/>
      <protection hidden="1"/>
    </xf>
    <xf numFmtId="0" fontId="23" fillId="6" borderId="23" xfId="0" applyFont="1" applyFill="1" applyBorder="1" applyAlignment="1" applyProtection="1">
      <alignment horizontal="center" vertical="center"/>
      <protection hidden="1"/>
    </xf>
    <xf numFmtId="0" fontId="16" fillId="16" borderId="70" xfId="0" applyFont="1" applyFill="1" applyBorder="1" applyAlignment="1" applyProtection="1">
      <alignment horizontal="center" vertical="center"/>
      <protection hidden="1"/>
    </xf>
    <xf numFmtId="0" fontId="16" fillId="16" borderId="69" xfId="0" applyFont="1" applyFill="1" applyBorder="1" applyAlignment="1" applyProtection="1">
      <alignment horizontal="center" vertical="center"/>
      <protection hidden="1"/>
    </xf>
    <xf numFmtId="0" fontId="24" fillId="7" borderId="27" xfId="0" applyFont="1" applyFill="1" applyBorder="1" applyAlignment="1" applyProtection="1">
      <alignment horizontal="center" vertical="center"/>
      <protection hidden="1"/>
    </xf>
    <xf numFmtId="0" fontId="32" fillId="7" borderId="2" xfId="0" applyFont="1" applyFill="1" applyBorder="1" applyAlignment="1" applyProtection="1">
      <alignment horizontal="center" vertical="center" wrapText="1"/>
      <protection hidden="1"/>
    </xf>
    <xf numFmtId="0" fontId="24" fillId="7" borderId="2" xfId="0" applyFont="1" applyFill="1" applyBorder="1" applyAlignment="1" applyProtection="1">
      <alignment horizontal="center" vertical="center"/>
      <protection hidden="1"/>
    </xf>
    <xf numFmtId="0" fontId="20" fillId="7" borderId="103" xfId="0" applyFont="1" applyFill="1" applyBorder="1" applyAlignment="1" applyProtection="1">
      <alignment horizontal="center" vertical="center"/>
      <protection hidden="1"/>
    </xf>
    <xf numFmtId="0" fontId="20" fillId="7" borderId="60" xfId="0" applyFont="1" applyFill="1" applyBorder="1" applyAlignment="1" applyProtection="1">
      <alignment horizontal="center" vertical="center"/>
      <protection hidden="1"/>
    </xf>
    <xf numFmtId="0" fontId="20" fillId="7" borderId="29" xfId="0" applyFont="1" applyFill="1" applyBorder="1" applyAlignment="1" applyProtection="1">
      <alignment horizontal="center" vertical="center"/>
      <protection hidden="1"/>
    </xf>
    <xf numFmtId="0" fontId="20" fillId="7" borderId="50" xfId="0" applyFont="1" applyFill="1" applyBorder="1" applyAlignment="1" applyProtection="1">
      <alignment horizontal="center" vertical="center"/>
      <protection hidden="1"/>
    </xf>
    <xf numFmtId="0" fontId="20" fillId="7" borderId="21" xfId="0" applyFont="1" applyFill="1" applyBorder="1" applyAlignment="1" applyProtection="1">
      <alignment horizontal="center" vertical="center"/>
      <protection hidden="1"/>
    </xf>
    <xf numFmtId="0" fontId="20" fillId="7" borderId="30" xfId="0" applyFont="1" applyFill="1" applyBorder="1" applyAlignment="1" applyProtection="1">
      <alignment horizontal="center" vertical="center"/>
      <protection hidden="1"/>
    </xf>
    <xf numFmtId="0" fontId="20" fillId="7" borderId="4" xfId="0" applyFont="1" applyFill="1" applyBorder="1" applyAlignment="1" applyProtection="1">
      <alignment horizontal="center" vertical="center"/>
      <protection hidden="1"/>
    </xf>
    <xf numFmtId="0" fontId="20" fillId="7" borderId="5" xfId="0" applyFont="1" applyFill="1" applyBorder="1" applyAlignment="1" applyProtection="1">
      <alignment horizontal="center" vertical="center"/>
      <protection hidden="1"/>
    </xf>
    <xf numFmtId="0" fontId="20" fillId="7" borderId="9" xfId="0" applyFont="1" applyFill="1" applyBorder="1" applyAlignment="1" applyProtection="1">
      <alignment horizontal="center" vertical="center" wrapText="1"/>
      <protection hidden="1"/>
    </xf>
    <xf numFmtId="0" fontId="20" fillId="7" borderId="40" xfId="0" applyFont="1" applyFill="1" applyBorder="1" applyAlignment="1" applyProtection="1">
      <alignment horizontal="center" vertical="center" wrapText="1"/>
      <protection hidden="1"/>
    </xf>
    <xf numFmtId="0" fontId="32" fillId="7" borderId="9" xfId="0" applyFont="1" applyFill="1" applyBorder="1" applyAlignment="1" applyProtection="1">
      <alignment horizontal="center" vertical="center" wrapText="1"/>
      <protection hidden="1"/>
    </xf>
    <xf numFmtId="0" fontId="32" fillId="7" borderId="12" xfId="0" applyFont="1" applyFill="1" applyBorder="1" applyAlignment="1" applyProtection="1">
      <alignment horizontal="center" vertical="center" wrapText="1"/>
      <protection hidden="1"/>
    </xf>
    <xf numFmtId="0" fontId="5" fillId="7" borderId="29" xfId="0" applyFont="1" applyFill="1" applyBorder="1" applyAlignment="1" applyProtection="1">
      <alignment horizontal="center" vertical="center"/>
      <protection hidden="1"/>
    </xf>
    <xf numFmtId="0" fontId="5" fillId="7" borderId="50" xfId="0" applyFont="1" applyFill="1" applyBorder="1" applyAlignment="1" applyProtection="1">
      <alignment horizontal="center" vertical="center"/>
      <protection hidden="1"/>
    </xf>
    <xf numFmtId="0" fontId="5" fillId="7" borderId="34" xfId="0" applyFont="1" applyFill="1" applyBorder="1" applyAlignment="1" applyProtection="1">
      <alignment horizontal="center" vertical="center"/>
      <protection hidden="1"/>
    </xf>
    <xf numFmtId="0" fontId="106" fillId="16" borderId="70" xfId="0" applyFont="1" applyFill="1" applyBorder="1" applyAlignment="1">
      <alignment horizontal="center" vertical="center"/>
    </xf>
    <xf numFmtId="0" fontId="106" fillId="16" borderId="69" xfId="0" applyFont="1" applyFill="1" applyBorder="1" applyAlignment="1">
      <alignment horizontal="center" vertical="center"/>
    </xf>
    <xf numFmtId="0" fontId="5" fillId="0" borderId="94" xfId="0" applyFont="1" applyBorder="1" applyAlignment="1">
      <alignment horizontal="left" vertical="center" wrapText="1"/>
    </xf>
    <xf numFmtId="0" fontId="5" fillId="0" borderId="100" xfId="0" applyFont="1" applyBorder="1" applyAlignment="1">
      <alignment horizontal="left" vertical="center" wrapText="1"/>
    </xf>
    <xf numFmtId="0" fontId="5" fillId="0" borderId="95" xfId="0" applyFont="1" applyBorder="1" applyAlignment="1">
      <alignment horizontal="left" vertical="center" wrapText="1"/>
    </xf>
    <xf numFmtId="0" fontId="5" fillId="0" borderId="96" xfId="0" applyFont="1" applyBorder="1" applyAlignment="1">
      <alignment horizontal="left" vertical="center" wrapText="1"/>
    </xf>
    <xf numFmtId="0" fontId="5" fillId="0" borderId="0" xfId="0" applyFont="1" applyAlignment="1">
      <alignment horizontal="left" vertical="center" wrapText="1"/>
    </xf>
    <xf numFmtId="0" fontId="5" fillId="0" borderId="97" xfId="0" applyFont="1" applyBorder="1" applyAlignment="1">
      <alignment horizontal="left" vertical="center" wrapText="1"/>
    </xf>
    <xf numFmtId="0" fontId="5" fillId="0" borderId="98" xfId="0" applyFont="1" applyBorder="1" applyAlignment="1">
      <alignment horizontal="left" vertical="center" wrapText="1"/>
    </xf>
    <xf numFmtId="0" fontId="5" fillId="0" borderId="101" xfId="0" applyFont="1" applyBorder="1" applyAlignment="1">
      <alignment horizontal="left" vertical="center" wrapText="1"/>
    </xf>
    <xf numFmtId="0" fontId="5" fillId="0" borderId="99" xfId="0" applyFont="1" applyBorder="1" applyAlignment="1">
      <alignment horizontal="left" vertical="center" wrapText="1"/>
    </xf>
    <xf numFmtId="0" fontId="4" fillId="0" borderId="3" xfId="0" applyFont="1" applyBorder="1" applyAlignment="1">
      <alignment horizontal="center" vertical="center"/>
    </xf>
    <xf numFmtId="0" fontId="4" fillId="0" borderId="5" xfId="0" applyFont="1" applyBorder="1" applyAlignment="1">
      <alignment horizontal="center" vertical="center"/>
    </xf>
    <xf numFmtId="0" fontId="20" fillId="7" borderId="2" xfId="0" applyFont="1" applyFill="1" applyBorder="1" applyAlignment="1" applyProtection="1">
      <alignment horizontal="center" vertical="center" wrapText="1"/>
      <protection hidden="1"/>
    </xf>
    <xf numFmtId="0" fontId="24" fillId="7" borderId="3" xfId="0" applyFont="1" applyFill="1" applyBorder="1" applyAlignment="1" applyProtection="1">
      <alignment horizontal="center" vertical="center"/>
      <protection hidden="1"/>
    </xf>
    <xf numFmtId="0" fontId="24" fillId="7" borderId="5" xfId="0" applyFont="1" applyFill="1" applyBorder="1" applyAlignment="1" applyProtection="1">
      <alignment horizontal="center" vertical="center"/>
      <protection hidden="1"/>
    </xf>
    <xf numFmtId="0" fontId="4" fillId="0" borderId="9" xfId="0" applyFont="1" applyBorder="1" applyAlignment="1" applyProtection="1">
      <alignment horizontal="center" vertical="center"/>
      <protection hidden="1"/>
    </xf>
    <xf numFmtId="0" fontId="24" fillId="0" borderId="94" xfId="0" applyFont="1" applyBorder="1" applyAlignment="1" applyProtection="1">
      <alignment horizontal="left" vertical="center" wrapText="1"/>
      <protection hidden="1"/>
    </xf>
    <xf numFmtId="0" fontId="24" fillId="0" borderId="100" xfId="0" applyFont="1" applyBorder="1" applyAlignment="1" applyProtection="1">
      <alignment horizontal="left" vertical="center" wrapText="1"/>
      <protection hidden="1"/>
    </xf>
    <xf numFmtId="0" fontId="24" fillId="0" borderId="95" xfId="0" applyFont="1" applyBorder="1" applyAlignment="1" applyProtection="1">
      <alignment horizontal="left" vertical="center" wrapText="1"/>
      <protection hidden="1"/>
    </xf>
    <xf numFmtId="0" fontId="24" fillId="0" borderId="96" xfId="0" applyFont="1" applyBorder="1" applyAlignment="1" applyProtection="1">
      <alignment horizontal="left" vertical="center" wrapText="1"/>
      <protection hidden="1"/>
    </xf>
    <xf numFmtId="0" fontId="24" fillId="0" borderId="0" xfId="0" applyFont="1" applyAlignment="1" applyProtection="1">
      <alignment horizontal="left" vertical="center" wrapText="1"/>
      <protection hidden="1"/>
    </xf>
    <xf numFmtId="0" fontId="24" fillId="0" borderId="97" xfId="0" applyFont="1" applyBorder="1" applyAlignment="1" applyProtection="1">
      <alignment horizontal="left" vertical="center" wrapText="1"/>
      <protection hidden="1"/>
    </xf>
    <xf numFmtId="0" fontId="24" fillId="0" borderId="98" xfId="0" applyFont="1" applyBorder="1" applyAlignment="1" applyProtection="1">
      <alignment horizontal="left" vertical="center" wrapText="1"/>
      <protection hidden="1"/>
    </xf>
    <xf numFmtId="0" fontId="24" fillId="0" borderId="101" xfId="0" applyFont="1" applyBorder="1" applyAlignment="1" applyProtection="1">
      <alignment horizontal="left" vertical="center" wrapText="1"/>
      <protection hidden="1"/>
    </xf>
    <xf numFmtId="0" fontId="24" fillId="0" borderId="99" xfId="0" applyFont="1" applyBorder="1" applyAlignment="1" applyProtection="1">
      <alignment horizontal="left" vertical="center" wrapText="1"/>
      <protection hidden="1"/>
    </xf>
    <xf numFmtId="38" fontId="38" fillId="0" borderId="3" xfId="2" applyFont="1" applyFill="1" applyBorder="1" applyAlignment="1" applyProtection="1">
      <alignment horizontal="right" vertical="center"/>
      <protection hidden="1"/>
    </xf>
    <xf numFmtId="38" fontId="38" fillId="0" borderId="4" xfId="2" applyFont="1" applyFill="1" applyBorder="1" applyAlignment="1" applyProtection="1">
      <alignment horizontal="right" vertical="center"/>
      <protection hidden="1"/>
    </xf>
    <xf numFmtId="0" fontId="38" fillId="0" borderId="3" xfId="0" applyFont="1" applyBorder="1" applyAlignment="1" applyProtection="1">
      <alignment horizontal="right" vertical="center"/>
      <protection hidden="1"/>
    </xf>
    <xf numFmtId="0" fontId="38" fillId="0" borderId="4" xfId="0" applyFont="1" applyBorder="1" applyAlignment="1" applyProtection="1">
      <alignment horizontal="right" vertical="center"/>
      <protection hidden="1"/>
    </xf>
    <xf numFmtId="0" fontId="106" fillId="16" borderId="70" xfId="0" applyFont="1" applyFill="1" applyBorder="1" applyAlignment="1" applyProtection="1">
      <alignment horizontal="center" vertical="center"/>
      <protection hidden="1"/>
    </xf>
    <xf numFmtId="0" fontId="106" fillId="16" borderId="72" xfId="0" applyFont="1" applyFill="1" applyBorder="1" applyAlignment="1" applyProtection="1">
      <alignment horizontal="center" vertical="center"/>
      <protection hidden="1"/>
    </xf>
    <xf numFmtId="0" fontId="121" fillId="7" borderId="31" xfId="0" applyFont="1" applyFill="1" applyBorder="1" applyAlignment="1" applyProtection="1">
      <alignment horizontal="center" vertical="center"/>
      <protection hidden="1"/>
    </xf>
    <xf numFmtId="0" fontId="121" fillId="7" borderId="0" xfId="0" applyFont="1" applyFill="1" applyAlignment="1" applyProtection="1">
      <alignment horizontal="center" vertical="center"/>
      <protection hidden="1"/>
    </xf>
    <xf numFmtId="0" fontId="121" fillId="7" borderId="102" xfId="0" applyFont="1" applyFill="1" applyBorder="1" applyAlignment="1" applyProtection="1">
      <alignment horizontal="center" vertical="center"/>
      <protection hidden="1"/>
    </xf>
    <xf numFmtId="0" fontId="120" fillId="16" borderId="70" xfId="0" applyFont="1" applyFill="1" applyBorder="1" applyAlignment="1" applyProtection="1">
      <alignment horizontal="center" vertical="center"/>
      <protection hidden="1"/>
    </xf>
    <xf numFmtId="0" fontId="120" fillId="16" borderId="69" xfId="0" applyFont="1" applyFill="1" applyBorder="1" applyAlignment="1" applyProtection="1">
      <alignment horizontal="center" vertical="center"/>
      <protection hidden="1"/>
    </xf>
    <xf numFmtId="0" fontId="121" fillId="7" borderId="29" xfId="0" applyFont="1" applyFill="1" applyBorder="1" applyAlignment="1" applyProtection="1">
      <alignment horizontal="center" vertical="center"/>
      <protection hidden="1"/>
    </xf>
    <xf numFmtId="0" fontId="121" fillId="7" borderId="50" xfId="0" applyFont="1" applyFill="1" applyBorder="1" applyAlignment="1" applyProtection="1">
      <alignment horizontal="center" vertical="center"/>
      <protection hidden="1"/>
    </xf>
    <xf numFmtId="0" fontId="121" fillId="7" borderId="21" xfId="0" applyFont="1" applyFill="1" applyBorder="1" applyAlignment="1" applyProtection="1">
      <alignment horizontal="center" vertical="center"/>
      <protection hidden="1"/>
    </xf>
    <xf numFmtId="0" fontId="121" fillId="7" borderId="30" xfId="0" applyFont="1" applyFill="1" applyBorder="1" applyAlignment="1" applyProtection="1">
      <alignment horizontal="center" vertical="center"/>
      <protection hidden="1"/>
    </xf>
    <xf numFmtId="0" fontId="121" fillId="7" borderId="4" xfId="0" applyFont="1" applyFill="1" applyBorder="1" applyAlignment="1" applyProtection="1">
      <alignment horizontal="center" vertical="center"/>
      <protection hidden="1"/>
    </xf>
    <xf numFmtId="0" fontId="123" fillId="7" borderId="2" xfId="0" applyFont="1" applyFill="1" applyBorder="1" applyAlignment="1" applyProtection="1">
      <alignment horizontal="center" vertical="center" wrapText="1"/>
      <protection hidden="1"/>
    </xf>
    <xf numFmtId="0" fontId="121" fillId="7" borderId="2" xfId="0" applyFont="1" applyFill="1" applyBorder="1" applyAlignment="1" applyProtection="1">
      <alignment horizontal="center" vertical="center"/>
      <protection hidden="1"/>
    </xf>
    <xf numFmtId="0" fontId="125" fillId="19" borderId="52" xfId="0" applyFont="1" applyFill="1" applyBorder="1" applyAlignment="1" applyProtection="1">
      <alignment horizontal="center" vertical="center"/>
      <protection hidden="1"/>
    </xf>
    <xf numFmtId="0" fontId="125" fillId="19" borderId="61" xfId="0" applyFont="1" applyFill="1" applyBorder="1" applyAlignment="1" applyProtection="1">
      <alignment horizontal="center" vertical="center"/>
      <protection hidden="1"/>
    </xf>
    <xf numFmtId="0" fontId="125" fillId="17" borderId="52" xfId="0" applyFont="1" applyFill="1" applyBorder="1" applyAlignment="1" applyProtection="1">
      <alignment horizontal="center" vertical="center"/>
      <protection hidden="1"/>
    </xf>
    <xf numFmtId="0" fontId="125" fillId="17" borderId="71" xfId="0" applyFont="1" applyFill="1" applyBorder="1" applyAlignment="1" applyProtection="1">
      <alignment horizontal="center" vertical="center"/>
      <protection hidden="1"/>
    </xf>
    <xf numFmtId="0" fontId="121" fillId="6" borderId="20" xfId="0" applyFont="1" applyFill="1" applyBorder="1" applyAlignment="1" applyProtection="1">
      <alignment horizontal="center" vertical="center" wrapText="1"/>
      <protection hidden="1"/>
    </xf>
    <xf numFmtId="0" fontId="121" fillId="6" borderId="21" xfId="0" applyFont="1" applyFill="1" applyBorder="1" applyAlignment="1" applyProtection="1">
      <alignment horizontal="center" vertical="center"/>
      <protection hidden="1"/>
    </xf>
    <xf numFmtId="0" fontId="121" fillId="6" borderId="75" xfId="0" applyFont="1" applyFill="1" applyBorder="1" applyAlignment="1" applyProtection="1">
      <alignment horizontal="center" vertical="center"/>
      <protection hidden="1"/>
    </xf>
    <xf numFmtId="0" fontId="121" fillId="6" borderId="63" xfId="0" applyFont="1" applyFill="1" applyBorder="1" applyAlignment="1" applyProtection="1">
      <alignment horizontal="center" vertical="center"/>
      <protection hidden="1"/>
    </xf>
    <xf numFmtId="0" fontId="121" fillId="7" borderId="5" xfId="0" applyFont="1" applyFill="1" applyBorder="1" applyAlignment="1" applyProtection="1">
      <alignment horizontal="center" vertical="center"/>
      <protection hidden="1"/>
    </xf>
    <xf numFmtId="0" fontId="121" fillId="7" borderId="103" xfId="0" applyFont="1" applyFill="1" applyBorder="1" applyAlignment="1" applyProtection="1">
      <alignment horizontal="center" vertical="center"/>
      <protection hidden="1"/>
    </xf>
    <xf numFmtId="0" fontId="121" fillId="7" borderId="60" xfId="0" applyFont="1" applyFill="1" applyBorder="1" applyAlignment="1" applyProtection="1">
      <alignment horizontal="center" vertical="center"/>
      <protection hidden="1"/>
    </xf>
    <xf numFmtId="176" fontId="124" fillId="0" borderId="6" xfId="1" applyNumberFormat="1" applyFont="1" applyFill="1" applyBorder="1" applyAlignment="1" applyProtection="1">
      <alignment horizontal="center" vertical="center"/>
      <protection hidden="1"/>
    </xf>
    <xf numFmtId="176" fontId="124" fillId="0" borderId="19" xfId="1" applyNumberFormat="1" applyFont="1" applyFill="1" applyBorder="1" applyAlignment="1" applyProtection="1">
      <alignment horizontal="center" vertical="center"/>
      <protection hidden="1"/>
    </xf>
    <xf numFmtId="0" fontId="1" fillId="2" borderId="29" xfId="0" applyFont="1" applyFill="1" applyBorder="1" applyAlignment="1">
      <alignment horizontal="center" vertical="center"/>
    </xf>
    <xf numFmtId="0" fontId="1" fillId="2" borderId="50" xfId="0" applyFont="1" applyFill="1" applyBorder="1" applyAlignment="1">
      <alignment horizontal="center" vertical="center"/>
    </xf>
    <xf numFmtId="0" fontId="1" fillId="2" borderId="49" xfId="0" applyFont="1" applyFill="1" applyBorder="1" applyAlignment="1">
      <alignment horizontal="center" vertical="center"/>
    </xf>
    <xf numFmtId="0" fontId="1" fillId="2" borderId="48" xfId="0" applyFont="1" applyFill="1" applyBorder="1" applyAlignment="1">
      <alignment horizontal="center" vertical="center"/>
    </xf>
    <xf numFmtId="0" fontId="1" fillId="2" borderId="34" xfId="0" applyFont="1" applyFill="1" applyBorder="1" applyAlignment="1">
      <alignment horizontal="center" vertical="center"/>
    </xf>
    <xf numFmtId="0" fontId="1" fillId="2" borderId="31" xfId="0" applyFont="1" applyFill="1" applyBorder="1" applyAlignment="1">
      <alignment horizontal="center"/>
    </xf>
    <xf numFmtId="0" fontId="1" fillId="2" borderId="0" xfId="0" applyFont="1" applyFill="1" applyAlignment="1">
      <alignment horizontal="center"/>
    </xf>
    <xf numFmtId="0" fontId="24" fillId="10" borderId="3" xfId="0" applyFont="1" applyFill="1" applyBorder="1" applyAlignment="1">
      <alignment horizontal="center" vertical="center"/>
    </xf>
    <xf numFmtId="0" fontId="24" fillId="10" borderId="4" xfId="0" applyFont="1" applyFill="1" applyBorder="1" applyAlignment="1">
      <alignment horizontal="center" vertical="center"/>
    </xf>
    <xf numFmtId="0" fontId="24" fillId="10" borderId="5" xfId="0" applyFont="1" applyFill="1" applyBorder="1" applyAlignment="1">
      <alignment horizontal="center" vertical="center"/>
    </xf>
    <xf numFmtId="0" fontId="24" fillId="10" borderId="2" xfId="0" applyFont="1" applyFill="1" applyBorder="1" applyAlignment="1">
      <alignment horizontal="center" vertical="center"/>
    </xf>
    <xf numFmtId="0" fontId="24" fillId="0" borderId="2" xfId="0" applyFont="1" applyBorder="1" applyAlignment="1">
      <alignment horizontal="center" vertical="center"/>
    </xf>
    <xf numFmtId="38" fontId="5" fillId="12" borderId="29" xfId="2" applyFont="1" applyFill="1" applyBorder="1" applyAlignment="1" applyProtection="1">
      <alignment horizontal="center" vertical="center" shrinkToFit="1"/>
    </xf>
    <xf numFmtId="38" fontId="5" fillId="12" borderId="34" xfId="2" applyFont="1" applyFill="1" applyBorder="1" applyAlignment="1" applyProtection="1">
      <alignment horizontal="center" vertical="center" shrinkToFit="1"/>
    </xf>
    <xf numFmtId="0" fontId="24" fillId="6" borderId="3" xfId="0" applyFont="1" applyFill="1" applyBorder="1" applyAlignment="1">
      <alignment horizontal="center" vertical="center"/>
    </xf>
    <xf numFmtId="0" fontId="24" fillId="6" borderId="5" xfId="0" applyFont="1" applyFill="1" applyBorder="1" applyAlignment="1">
      <alignment horizontal="center" vertical="center"/>
    </xf>
    <xf numFmtId="0" fontId="24" fillId="6" borderId="4" xfId="0" applyFont="1" applyFill="1" applyBorder="1" applyAlignment="1">
      <alignment horizontal="center" vertical="center"/>
    </xf>
    <xf numFmtId="0" fontId="5" fillId="10" borderId="15" xfId="0" applyFont="1" applyFill="1" applyBorder="1" applyAlignment="1">
      <alignment horizontal="center" vertical="center"/>
    </xf>
    <xf numFmtId="0" fontId="5" fillId="10" borderId="17" xfId="0" applyFont="1" applyFill="1" applyBorder="1" applyAlignment="1">
      <alignment horizontal="center" vertical="center"/>
    </xf>
    <xf numFmtId="38" fontId="42" fillId="0" borderId="28" xfId="2" applyFont="1" applyBorder="1" applyAlignment="1" applyProtection="1">
      <alignment horizontal="center" vertical="center"/>
    </xf>
    <xf numFmtId="38" fontId="42" fillId="0" borderId="68" xfId="2" applyFont="1" applyBorder="1" applyAlignment="1" applyProtection="1">
      <alignment horizontal="center" vertical="center"/>
    </xf>
    <xf numFmtId="38" fontId="42" fillId="0" borderId="66" xfId="2" applyFont="1" applyBorder="1" applyAlignment="1" applyProtection="1">
      <alignment horizontal="center" vertical="center"/>
    </xf>
    <xf numFmtId="0" fontId="5" fillId="10" borderId="52" xfId="0" applyFont="1" applyFill="1" applyBorder="1" applyAlignment="1">
      <alignment horizontal="center" vertical="center"/>
    </xf>
    <xf numFmtId="0" fontId="5" fillId="10" borderId="61" xfId="0" applyFont="1" applyFill="1" applyBorder="1" applyAlignment="1">
      <alignment horizontal="center" vertical="center"/>
    </xf>
    <xf numFmtId="0" fontId="5" fillId="10" borderId="71" xfId="0" applyFont="1" applyFill="1" applyBorder="1" applyAlignment="1">
      <alignment horizontal="center" vertical="center"/>
    </xf>
    <xf numFmtId="0" fontId="24" fillId="16" borderId="2" xfId="0" applyFont="1" applyFill="1" applyBorder="1" applyAlignment="1">
      <alignment horizontal="left" vertical="center" wrapText="1"/>
    </xf>
    <xf numFmtId="0" fontId="24" fillId="16" borderId="3" xfId="0" applyFont="1" applyFill="1" applyBorder="1" applyAlignment="1">
      <alignment horizontal="left" vertical="center" wrapText="1"/>
    </xf>
    <xf numFmtId="0" fontId="24" fillId="10" borderId="12" xfId="0" applyFont="1" applyFill="1" applyBorder="1" applyAlignment="1">
      <alignment horizontal="center" vertical="center"/>
    </xf>
    <xf numFmtId="180" fontId="70" fillId="6" borderId="0" xfId="0" applyNumberFormat="1" applyFont="1" applyFill="1" applyAlignment="1">
      <alignment horizontal="center" vertical="center"/>
    </xf>
  </cellXfs>
  <cellStyles count="5">
    <cellStyle name="パーセント" xfId="1" builtinId="5"/>
    <cellStyle name="ハイパーリンク" xfId="3" builtinId="8"/>
    <cellStyle name="桁区切り" xfId="2" builtinId="6"/>
    <cellStyle name="標準" xfId="0" builtinId="0"/>
    <cellStyle name="標準_退職金制度診断システム1_04" xfId="4" xr:uid="{E6293051-C267-421F-83D0-55C61D4AF87F}"/>
  </cellStyles>
  <dxfs count="37">
    <dxf>
      <fill>
        <patternFill>
          <bgColor theme="0"/>
        </patternFill>
      </fill>
    </dxf>
    <dxf>
      <fill>
        <patternFill>
          <bgColor theme="8" tint="0.79998168889431442"/>
        </patternFill>
      </fill>
    </dxf>
    <dxf>
      <fill>
        <patternFill>
          <bgColor rgb="FFFFFFCC"/>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8" tint="0.79998168889431442"/>
        </patternFill>
      </fill>
    </dxf>
    <dxf>
      <fill>
        <patternFill>
          <bgColor rgb="FFFFFFCC"/>
        </patternFill>
      </fill>
    </dxf>
    <dxf>
      <fill>
        <patternFill>
          <bgColor theme="6" tint="0.79998168889431442"/>
        </patternFill>
      </fill>
    </dxf>
    <dxf>
      <fill>
        <patternFill>
          <bgColor theme="9" tint="0.79998168889431442"/>
        </patternFill>
      </fill>
    </dxf>
    <dxf>
      <fill>
        <patternFill>
          <bgColor theme="0"/>
        </patternFill>
      </fill>
    </dxf>
    <dxf>
      <fill>
        <patternFill>
          <bgColor rgb="FFFFFFCC"/>
        </patternFill>
      </fill>
    </dxf>
    <dxf>
      <fill>
        <patternFill>
          <bgColor theme="0"/>
        </patternFill>
      </fill>
    </dxf>
    <dxf>
      <fill>
        <patternFill>
          <bgColor theme="0"/>
        </patternFill>
      </fill>
    </dxf>
    <dxf>
      <fill>
        <patternFill>
          <bgColor theme="8" tint="0.79998168889431442"/>
        </patternFill>
      </fill>
    </dxf>
    <dxf>
      <fill>
        <patternFill>
          <bgColor rgb="FFFFFFCC"/>
        </patternFill>
      </fill>
    </dxf>
    <dxf>
      <fill>
        <patternFill>
          <bgColor theme="6" tint="0.79998168889431442"/>
        </patternFill>
      </fill>
    </dxf>
    <dxf>
      <fill>
        <patternFill>
          <bgColor theme="9" tint="0.79998168889431442"/>
        </patternFill>
      </fill>
    </dxf>
    <dxf>
      <fill>
        <patternFill>
          <bgColor theme="0"/>
        </patternFill>
      </fill>
    </dxf>
    <dxf>
      <fill>
        <patternFill>
          <bgColor theme="8" tint="0.79998168889431442"/>
        </patternFill>
      </fill>
    </dxf>
    <dxf>
      <fill>
        <patternFill>
          <bgColor rgb="FFFFFFCC"/>
        </patternFill>
      </fill>
    </dxf>
    <dxf>
      <fill>
        <patternFill>
          <bgColor theme="6" tint="0.79998168889431442"/>
        </patternFill>
      </fill>
    </dxf>
    <dxf>
      <fill>
        <patternFill>
          <bgColor theme="9" tint="0.79998168889431442"/>
        </patternFill>
      </fill>
    </dxf>
    <dxf>
      <fill>
        <patternFill>
          <bgColor rgb="FFFFFFD5"/>
        </patternFill>
      </fill>
    </dxf>
    <dxf>
      <fill>
        <patternFill>
          <bgColor theme="0"/>
        </patternFill>
      </fill>
    </dxf>
    <dxf>
      <fill>
        <patternFill>
          <bgColor theme="0"/>
        </patternFill>
      </fill>
    </dxf>
    <dxf>
      <fill>
        <patternFill>
          <bgColor theme="8" tint="0.79998168889431442"/>
        </patternFill>
      </fill>
    </dxf>
    <dxf>
      <fill>
        <patternFill>
          <bgColor rgb="FFFFFFCC"/>
        </patternFill>
      </fill>
    </dxf>
    <dxf>
      <fill>
        <patternFill>
          <bgColor theme="6" tint="0.79998168889431442"/>
        </patternFill>
      </fill>
    </dxf>
    <dxf>
      <fill>
        <patternFill>
          <bgColor theme="9" tint="0.79998168889431442"/>
        </patternFill>
      </fill>
    </dxf>
    <dxf>
      <fill>
        <patternFill>
          <bgColor theme="0"/>
        </patternFill>
      </fill>
    </dxf>
    <dxf>
      <fill>
        <patternFill>
          <bgColor theme="8" tint="0.79998168889431442"/>
        </patternFill>
      </fill>
    </dxf>
    <dxf>
      <fill>
        <patternFill>
          <bgColor rgb="FFFFFFCC"/>
        </patternFill>
      </fill>
    </dxf>
    <dxf>
      <fill>
        <patternFill>
          <bgColor theme="6" tint="0.79998168889431442"/>
        </patternFill>
      </fill>
    </dxf>
    <dxf>
      <fill>
        <patternFill>
          <bgColor theme="9" tint="0.79998168889431442"/>
        </patternFill>
      </fill>
    </dxf>
    <dxf>
      <fill>
        <patternFill>
          <bgColor theme="0"/>
        </patternFill>
      </fill>
    </dxf>
  </dxfs>
  <tableStyles count="0" defaultTableStyle="TableStyleMedium9" defaultPivotStyle="PivotStyleLight16"/>
  <colors>
    <mruColors>
      <color rgb="FF3333FF"/>
      <color rgb="FFFFFF99"/>
      <color rgb="FF0000CC"/>
      <color rgb="FF003300"/>
      <color rgb="FF00FFFF"/>
      <color rgb="FFFF6600"/>
      <color rgb="FF339933"/>
      <color rgb="FFFF99FF"/>
      <color rgb="FFFFFFCC"/>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hyperlink" Target="#'3-1.&#27161;&#28310;&#22577;&#37228;&#26376;&#38989;&#12539;&#20445;&#38522;&#26009;&#34920;'!A1"/><Relationship Id="rId18" Type="http://schemas.openxmlformats.org/officeDocument/2006/relationships/image" Target="../media/image8.png"/><Relationship Id="rId26" Type="http://schemas.openxmlformats.org/officeDocument/2006/relationships/image" Target="../media/image16.png"/><Relationship Id="rId3" Type="http://schemas.openxmlformats.org/officeDocument/2006/relationships/image" Target="../media/image3.png"/><Relationship Id="rId21" Type="http://schemas.openxmlformats.org/officeDocument/2006/relationships/image" Target="../media/image11.png"/><Relationship Id="rId34" Type="http://schemas.openxmlformats.org/officeDocument/2006/relationships/image" Target="../media/image24.emf"/><Relationship Id="rId7" Type="http://schemas.openxmlformats.org/officeDocument/2006/relationships/hyperlink" Target="#'2-2.&#20445;&#38522;&#26009;&#12539;&#22320;&#26041;&#31246;&#31561;&#20837;&#21147;&#30011;&#38754;'!A1"/><Relationship Id="rId12" Type="http://schemas.openxmlformats.org/officeDocument/2006/relationships/hyperlink" Target="#'4-4.&#25163;&#24403;&#31561;&#25903;&#32102;&#12513;&#12491;&#12517;&#12540;&#12362;&#30693;&#12425;&#12379;&#65281; (&#65299;&#24180;&#30446;or&#65298;&#24180;&#30446;)'!A1"/><Relationship Id="rId17" Type="http://schemas.openxmlformats.org/officeDocument/2006/relationships/image" Target="../media/image7.png"/><Relationship Id="rId25" Type="http://schemas.openxmlformats.org/officeDocument/2006/relationships/image" Target="../media/image15.emf"/><Relationship Id="rId33" Type="http://schemas.openxmlformats.org/officeDocument/2006/relationships/image" Target="../media/image23.png"/><Relationship Id="rId2" Type="http://schemas.openxmlformats.org/officeDocument/2006/relationships/image" Target="../media/image2.emf"/><Relationship Id="rId16" Type="http://schemas.openxmlformats.org/officeDocument/2006/relationships/image" Target="../media/image6.png"/><Relationship Id="rId20" Type="http://schemas.openxmlformats.org/officeDocument/2006/relationships/image" Target="../media/image10.png"/><Relationship Id="rId29" Type="http://schemas.openxmlformats.org/officeDocument/2006/relationships/image" Target="../media/image19.png"/><Relationship Id="rId1" Type="http://schemas.openxmlformats.org/officeDocument/2006/relationships/image" Target="../media/image1.emf"/><Relationship Id="rId6" Type="http://schemas.openxmlformats.org/officeDocument/2006/relationships/hyperlink" Target="#'&#65301;.&#20351;&#29992;&#19978;&#12398;&#27880;&#24847;'!A1"/><Relationship Id="rId11" Type="http://schemas.openxmlformats.org/officeDocument/2006/relationships/hyperlink" Target="#'4-3.&#25163;&#24403;&#31561;&#25903;&#32102;&#12513;&#12491;&#12517;&#12540; (&#65299;&#24180;&#30446;or&#65298;&#24180;&#30446;)'!A1"/><Relationship Id="rId24" Type="http://schemas.openxmlformats.org/officeDocument/2006/relationships/image" Target="../media/image14.emf"/><Relationship Id="rId32" Type="http://schemas.openxmlformats.org/officeDocument/2006/relationships/image" Target="../media/image22.emf"/><Relationship Id="rId5" Type="http://schemas.openxmlformats.org/officeDocument/2006/relationships/image" Target="../media/image5.emf"/><Relationship Id="rId15" Type="http://schemas.openxmlformats.org/officeDocument/2006/relationships/hyperlink" Target="#'&#65300;-0.&#35373;&#23450; &#20181;&#27096;&#27010;&#35201;'!A1"/><Relationship Id="rId23" Type="http://schemas.openxmlformats.org/officeDocument/2006/relationships/image" Target="../media/image13.emf"/><Relationship Id="rId28" Type="http://schemas.openxmlformats.org/officeDocument/2006/relationships/image" Target="../media/image18.png"/><Relationship Id="rId36" Type="http://schemas.openxmlformats.org/officeDocument/2006/relationships/image" Target="../media/image26.png"/><Relationship Id="rId10" Type="http://schemas.openxmlformats.org/officeDocument/2006/relationships/hyperlink" Target="#'4-1.&#25163;&#24403;&#31561;&#25903;&#32102;&#12513;&#12491;&#12517;&#12540;'!A1"/><Relationship Id="rId19" Type="http://schemas.openxmlformats.org/officeDocument/2006/relationships/image" Target="../media/image9.png"/><Relationship Id="rId31" Type="http://schemas.openxmlformats.org/officeDocument/2006/relationships/image" Target="../media/image21.png"/><Relationship Id="rId4" Type="http://schemas.openxmlformats.org/officeDocument/2006/relationships/image" Target="../media/image4.png"/><Relationship Id="rId9" Type="http://schemas.openxmlformats.org/officeDocument/2006/relationships/hyperlink" Target="#'1-1.&#24467;&#26989;&#21729;&#12487;&#12540;&#12479;&#32102;&#19982;&#25913;&#23450;&#26696;&#20837;&#21147;&#30011;&#38754;'!A1"/><Relationship Id="rId14" Type="http://schemas.openxmlformats.org/officeDocument/2006/relationships/hyperlink" Target="#'3-2.&#25152;&#24471;&#31639;&#20986;&#21442;&#29031;&#34920;'!A1"/><Relationship Id="rId22" Type="http://schemas.openxmlformats.org/officeDocument/2006/relationships/image" Target="../media/image12.png"/><Relationship Id="rId27" Type="http://schemas.openxmlformats.org/officeDocument/2006/relationships/image" Target="../media/image17.png"/><Relationship Id="rId30" Type="http://schemas.openxmlformats.org/officeDocument/2006/relationships/image" Target="../media/image20.png"/><Relationship Id="rId35" Type="http://schemas.openxmlformats.org/officeDocument/2006/relationships/image" Target="../media/image25.emf"/><Relationship Id="rId8" Type="http://schemas.openxmlformats.org/officeDocument/2006/relationships/hyperlink" Target="#'4-2.&#25163;&#24403;&#31561;&#25903;&#32102;&#12513;&#12491;&#12517;&#12540;&#12362;&#30693;&#12425;&#12379;&#65281;'!A1"/></Relationships>
</file>

<file path=xl/drawings/_rels/drawing10.xml.rels><?xml version="1.0" encoding="UTF-8" standalone="yes"?>
<Relationships xmlns="http://schemas.openxmlformats.org/package/2006/relationships"><Relationship Id="rId2" Type="http://schemas.openxmlformats.org/officeDocument/2006/relationships/hyperlink" Target="#'&#12513;&#12491;&#12517;&#12540;&#65325;&#65313;&#65328;&#65286;&#25805;&#20316;&#25163;&#38918;'!A1"/><Relationship Id="rId1" Type="http://schemas.openxmlformats.org/officeDocument/2006/relationships/image" Target="../media/image28.png"/></Relationships>
</file>

<file path=xl/drawings/_rels/drawing11.xml.rels><?xml version="1.0" encoding="UTF-8" standalone="yes"?>
<Relationships xmlns="http://schemas.openxmlformats.org/package/2006/relationships"><Relationship Id="rId1" Type="http://schemas.openxmlformats.org/officeDocument/2006/relationships/hyperlink" Target="#'&#12513;&#12491;&#12517;&#12540;&#65325;&#65313;&#65328;&#65286;&#25805;&#20316;&#25163;&#38918;'!A1"/></Relationships>
</file>

<file path=xl/drawings/_rels/drawing12.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4" Type="http://schemas.openxmlformats.org/officeDocument/2006/relationships/hyperlink" Target="#'&#12513;&#12491;&#12517;&#12540;&#65325;&#65313;&#65328;&#65286;&#25805;&#20316;&#25163;&#38918;'!A1"/></Relationships>
</file>

<file path=xl/drawings/_rels/drawing13.xml.rels><?xml version="1.0" encoding="UTF-8" standalone="yes"?>
<Relationships xmlns="http://schemas.openxmlformats.org/package/2006/relationships"><Relationship Id="rId1" Type="http://schemas.openxmlformats.org/officeDocument/2006/relationships/hyperlink" Target="#'&#12513;&#12491;&#12517;&#12540;&#65325;&#65313;&#65328;&#65286;&#25805;&#20316;&#25163;&#38918;'!A1"/></Relationships>
</file>

<file path=xl/drawings/_rels/drawing2.xml.rels><?xml version="1.0" encoding="UTF-8" standalone="yes"?>
<Relationships xmlns="http://schemas.openxmlformats.org/package/2006/relationships"><Relationship Id="rId1" Type="http://schemas.openxmlformats.org/officeDocument/2006/relationships/hyperlink" Target="#'&#12513;&#12491;&#12517;&#12540;&#65325;&#65313;&#65328;&#65286;&#25805;&#20316;&#25163;&#38918;'!A1"/></Relationships>
</file>

<file path=xl/drawings/_rels/drawing3.xml.rels><?xml version="1.0" encoding="UTF-8" standalone="yes"?>
<Relationships xmlns="http://schemas.openxmlformats.org/package/2006/relationships"><Relationship Id="rId1" Type="http://schemas.openxmlformats.org/officeDocument/2006/relationships/hyperlink" Target="#'&#12513;&#12491;&#12517;&#12540;&#65325;&#65313;&#65328;&#65286;&#25805;&#20316;&#25163;&#38918;'!A1"/></Relationships>
</file>

<file path=xl/drawings/_rels/drawing4.xml.rels><?xml version="1.0" encoding="UTF-8" standalone="yes"?>
<Relationships xmlns="http://schemas.openxmlformats.org/package/2006/relationships"><Relationship Id="rId1" Type="http://schemas.openxmlformats.org/officeDocument/2006/relationships/hyperlink" Target="#'&#12513;&#12491;&#12517;&#12540;&#65325;&#65313;&#65328;&#65286;&#25805;&#20316;&#25163;&#38918;'!A1"/></Relationships>
</file>

<file path=xl/drawings/_rels/drawing5.xml.rels><?xml version="1.0" encoding="UTF-8" standalone="yes"?>
<Relationships xmlns="http://schemas.openxmlformats.org/package/2006/relationships"><Relationship Id="rId2" Type="http://schemas.openxmlformats.org/officeDocument/2006/relationships/hyperlink" Target="#'&#12513;&#12491;&#12517;&#12540;&#65325;&#65313;&#65328;&#65286;&#25805;&#20316;&#25163;&#38918;'!A1"/><Relationship Id="rId1" Type="http://schemas.openxmlformats.org/officeDocument/2006/relationships/image" Target="../media/image28.png"/></Relationships>
</file>

<file path=xl/drawings/_rels/drawing6.xml.rels><?xml version="1.0" encoding="UTF-8" standalone="yes"?>
<Relationships xmlns="http://schemas.openxmlformats.org/package/2006/relationships"><Relationship Id="rId1" Type="http://schemas.openxmlformats.org/officeDocument/2006/relationships/hyperlink" Target="#'&#12513;&#12491;&#12517;&#12540;&#65325;&#65313;&#65328;&#65286;&#25805;&#20316;&#25163;&#38918;'!A1"/></Relationships>
</file>

<file path=xl/drawings/_rels/drawing7.xml.rels><?xml version="1.0" encoding="UTF-8" standalone="yes"?>
<Relationships xmlns="http://schemas.openxmlformats.org/package/2006/relationships"><Relationship Id="rId2" Type="http://schemas.openxmlformats.org/officeDocument/2006/relationships/hyperlink" Target="#'&#12513;&#12491;&#12517;&#12540;&#65325;&#65313;&#65328;&#65286;&#25805;&#20316;&#25163;&#38918;'!A1"/><Relationship Id="rId1" Type="http://schemas.openxmlformats.org/officeDocument/2006/relationships/image" Target="../media/image28.png"/></Relationships>
</file>

<file path=xl/drawings/_rels/drawing8.xml.rels><?xml version="1.0" encoding="UTF-8" standalone="yes"?>
<Relationships xmlns="http://schemas.openxmlformats.org/package/2006/relationships"><Relationship Id="rId1" Type="http://schemas.openxmlformats.org/officeDocument/2006/relationships/hyperlink" Target="#'&#12513;&#12491;&#12517;&#12540;&#65325;&#65313;&#65328;&#65286;&#25805;&#20316;&#25163;&#38918;'!A1"/></Relationships>
</file>

<file path=xl/drawings/_rels/drawing9.xml.rels><?xml version="1.0" encoding="UTF-8" standalone="yes"?>
<Relationships xmlns="http://schemas.openxmlformats.org/package/2006/relationships"><Relationship Id="rId2" Type="http://schemas.openxmlformats.org/officeDocument/2006/relationships/hyperlink" Target="#'&#12513;&#12491;&#12517;&#12540;&#65325;&#65313;&#65328;&#65286;&#25805;&#20316;&#25163;&#38918;'!A1"/><Relationship Id="rId1"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450273</xdr:colOff>
          <xdr:row>83</xdr:row>
          <xdr:rowOff>0</xdr:rowOff>
        </xdr:from>
        <xdr:to>
          <xdr:col>6</xdr:col>
          <xdr:colOff>303068</xdr:colOff>
          <xdr:row>85</xdr:row>
          <xdr:rowOff>221925</xdr:rowOff>
        </xdr:to>
        <xdr:pic>
          <xdr:nvPicPr>
            <xdr:cNvPr id="4096" name="図 4095">
              <a:extLst>
                <a:ext uri="{FF2B5EF4-FFF2-40B4-BE49-F238E27FC236}">
                  <a16:creationId xmlns:a16="http://schemas.microsoft.com/office/drawing/2014/main" id="{0F2B6A81-BBD2-D7E6-2C1C-687385D03068}"/>
                </a:ext>
              </a:extLst>
            </xdr:cNvPr>
            <xdr:cNvPicPr>
              <a:picLocks noChangeAspect="1" noChangeArrowheads="1"/>
              <a:extLst>
                <a:ext uri="{84589F7E-364E-4C9E-8A38-B11213B215E9}">
                  <a14:cameraTool cellRange="'2-2.保険料・地方税等入力画面'!$C$5:$E$6" spid="_x0000_s17504"/>
                </a:ext>
              </a:extLst>
            </xdr:cNvPicPr>
          </xdr:nvPicPr>
          <xdr:blipFill>
            <a:blip xmlns:r="http://schemas.openxmlformats.org/officeDocument/2006/relationships" r:embed="rId1"/>
            <a:srcRect/>
            <a:stretch>
              <a:fillRect/>
            </a:stretch>
          </xdr:blipFill>
          <xdr:spPr bwMode="auto">
            <a:xfrm>
              <a:off x="831273" y="10235045"/>
              <a:ext cx="2415886" cy="776107"/>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9</xdr:col>
      <xdr:colOff>190502</xdr:colOff>
      <xdr:row>83</xdr:row>
      <xdr:rowOff>34636</xdr:rowOff>
    </xdr:from>
    <xdr:to>
      <xdr:col>14</xdr:col>
      <xdr:colOff>207821</xdr:colOff>
      <xdr:row>86</xdr:row>
      <xdr:rowOff>245217</xdr:rowOff>
    </xdr:to>
    <xdr:pic>
      <xdr:nvPicPr>
        <xdr:cNvPr id="4098" name="図 4097">
          <a:extLst>
            <a:ext uri="{FF2B5EF4-FFF2-40B4-BE49-F238E27FC236}">
              <a16:creationId xmlns:a16="http://schemas.microsoft.com/office/drawing/2014/main" id="{8BBEF34A-7AAC-568B-EF92-45FBD47B8A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86797" y="9429750"/>
          <a:ext cx="3628160" cy="1041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121229</xdr:colOff>
      <xdr:row>94</xdr:row>
      <xdr:rowOff>199160</xdr:rowOff>
    </xdr:from>
    <xdr:to>
      <xdr:col>17</xdr:col>
      <xdr:colOff>337706</xdr:colOff>
      <xdr:row>98</xdr:row>
      <xdr:rowOff>69274</xdr:rowOff>
    </xdr:to>
    <xdr:sp macro="" textlink="">
      <xdr:nvSpPr>
        <xdr:cNvPr id="4119" name="テキスト ボックス 4118">
          <a:extLst>
            <a:ext uri="{FF2B5EF4-FFF2-40B4-BE49-F238E27FC236}">
              <a16:creationId xmlns:a16="http://schemas.microsoft.com/office/drawing/2014/main" id="{D27871AD-5B3D-4DEE-8DC9-94FDFAFBA8C2}"/>
            </a:ext>
          </a:extLst>
        </xdr:cNvPr>
        <xdr:cNvSpPr txBox="1"/>
      </xdr:nvSpPr>
      <xdr:spPr>
        <a:xfrm>
          <a:off x="8044297" y="14651183"/>
          <a:ext cx="2952750" cy="9784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u="sng">
              <a:solidFill>
                <a:srgbClr val="FF0000"/>
              </a:solidFill>
            </a:rPr>
            <a:t>ネット検索を行う際のキーワードの例！</a:t>
          </a:r>
          <a:endParaRPr kumimoji="1" lang="en-US" altLang="ja-JP" sz="1200" b="1" u="sng">
            <a:solidFill>
              <a:srgbClr val="FF0000"/>
            </a:solidFill>
          </a:endParaRPr>
        </a:p>
        <a:p>
          <a:r>
            <a:rPr kumimoji="1" lang="en-US" altLang="ja-JP" sz="1200" b="1"/>
            <a:t>1.</a:t>
          </a:r>
          <a:r>
            <a:rPr kumimoji="1" lang="ja-JP" altLang="en-US" sz="1200" b="1"/>
            <a:t>地方税の計算＋市区町村名　</a:t>
          </a:r>
          <a:endParaRPr kumimoji="1" lang="en-US" altLang="ja-JP" sz="1200" b="1"/>
        </a:p>
        <a:p>
          <a:r>
            <a:rPr kumimoji="1" lang="en-US" altLang="ja-JP" sz="1200" b="1"/>
            <a:t>2.</a:t>
          </a:r>
          <a:r>
            <a:rPr kumimoji="1" lang="ja-JP" altLang="en-US" sz="1200" b="1"/>
            <a:t>町民税の計算＋市区町村名</a:t>
          </a:r>
          <a:endParaRPr kumimoji="1" lang="en-US" altLang="ja-JP" sz="1200" b="1"/>
        </a:p>
        <a:p>
          <a:r>
            <a:rPr kumimoji="1" lang="en-US" altLang="ja-JP" sz="1200" b="1"/>
            <a:t>3.</a:t>
          </a:r>
          <a:r>
            <a:rPr kumimoji="1" lang="ja-JP" altLang="en-US" sz="1200" b="1"/>
            <a:t>市民税の計算＋市区町村名　など</a:t>
          </a:r>
        </a:p>
      </xdr:txBody>
    </xdr:sp>
    <xdr:clientData/>
  </xdr:twoCellAnchor>
  <xdr:twoCellAnchor>
    <xdr:from>
      <xdr:col>17</xdr:col>
      <xdr:colOff>425903</xdr:colOff>
      <xdr:row>88</xdr:row>
      <xdr:rowOff>256459</xdr:rowOff>
    </xdr:from>
    <xdr:to>
      <xdr:col>26</xdr:col>
      <xdr:colOff>273867</xdr:colOff>
      <xdr:row>104</xdr:row>
      <xdr:rowOff>61919</xdr:rowOff>
    </xdr:to>
    <xdr:grpSp>
      <xdr:nvGrpSpPr>
        <xdr:cNvPr id="4139" name="グループ化 4138">
          <a:extLst>
            <a:ext uri="{FF2B5EF4-FFF2-40B4-BE49-F238E27FC236}">
              <a16:creationId xmlns:a16="http://schemas.microsoft.com/office/drawing/2014/main" id="{F3CE597D-5F7B-4A4F-89B8-1212B200FB5C}"/>
            </a:ext>
          </a:extLst>
        </xdr:cNvPr>
        <xdr:cNvGrpSpPr/>
      </xdr:nvGrpSpPr>
      <xdr:grpSpPr>
        <a:xfrm>
          <a:off x="11146820" y="25074376"/>
          <a:ext cx="6039214" cy="4239876"/>
          <a:chOff x="12049126" y="13163550"/>
          <a:chExt cx="8410574" cy="7191227"/>
        </a:xfrm>
      </xdr:grpSpPr>
      <xdr:grpSp>
        <xdr:nvGrpSpPr>
          <xdr:cNvPr id="4140" name="グループ化 4139">
            <a:extLst>
              <a:ext uri="{FF2B5EF4-FFF2-40B4-BE49-F238E27FC236}">
                <a16:creationId xmlns:a16="http://schemas.microsoft.com/office/drawing/2014/main" id="{E4C57638-910C-C7F6-CDF7-AA08E0549823}"/>
              </a:ext>
            </a:extLst>
          </xdr:cNvPr>
          <xdr:cNvGrpSpPr/>
        </xdr:nvGrpSpPr>
        <xdr:grpSpPr>
          <a:xfrm>
            <a:off x="12049126" y="13728044"/>
            <a:ext cx="8410574" cy="1989619"/>
            <a:chOff x="15982951" y="1983719"/>
            <a:chExt cx="9267824" cy="1989619"/>
          </a:xfrm>
        </xdr:grpSpPr>
        <xdr:grpSp>
          <xdr:nvGrpSpPr>
            <xdr:cNvPr id="4153" name="グループ化 4152">
              <a:extLst>
                <a:ext uri="{FF2B5EF4-FFF2-40B4-BE49-F238E27FC236}">
                  <a16:creationId xmlns:a16="http://schemas.microsoft.com/office/drawing/2014/main" id="{894AD6E0-3DF5-041A-9726-81EC50923AFC}"/>
                </a:ext>
              </a:extLst>
            </xdr:cNvPr>
            <xdr:cNvGrpSpPr/>
          </xdr:nvGrpSpPr>
          <xdr:grpSpPr>
            <a:xfrm>
              <a:off x="15982951" y="1983719"/>
              <a:ext cx="9267824" cy="1989619"/>
              <a:chOff x="15982951" y="1983719"/>
              <a:chExt cx="9267824" cy="1989619"/>
            </a:xfrm>
          </xdr:grpSpPr>
          <xdr:pic>
            <xdr:nvPicPr>
              <xdr:cNvPr id="4155" name="図 4154">
                <a:extLst>
                  <a:ext uri="{FF2B5EF4-FFF2-40B4-BE49-F238E27FC236}">
                    <a16:creationId xmlns:a16="http://schemas.microsoft.com/office/drawing/2014/main" id="{776582CB-D051-F2EA-EFF4-6E398F20EE7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982951" y="1983719"/>
                <a:ext cx="9267824" cy="1989619"/>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4156" name="直線コネクタ 4155">
                <a:extLst>
                  <a:ext uri="{FF2B5EF4-FFF2-40B4-BE49-F238E27FC236}">
                    <a16:creationId xmlns:a16="http://schemas.microsoft.com/office/drawing/2014/main" id="{642EDFE7-60BC-69E7-5D3B-09100D8FE580}"/>
                  </a:ext>
                </a:extLst>
              </xdr:cNvPr>
              <xdr:cNvCxnSpPr/>
            </xdr:nvCxnSpPr>
            <xdr:spPr>
              <a:xfrm>
                <a:off x="16497300" y="2552700"/>
                <a:ext cx="6048375" cy="9525"/>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4157" name="直線コネクタ 4156">
                <a:extLst>
                  <a:ext uri="{FF2B5EF4-FFF2-40B4-BE49-F238E27FC236}">
                    <a16:creationId xmlns:a16="http://schemas.microsoft.com/office/drawing/2014/main" id="{404CA4F0-5C9B-9297-FF6A-DF03DCF4BABF}"/>
                  </a:ext>
                </a:extLst>
              </xdr:cNvPr>
              <xdr:cNvCxnSpPr/>
            </xdr:nvCxnSpPr>
            <xdr:spPr>
              <a:xfrm flipV="1">
                <a:off x="16268701" y="2838450"/>
                <a:ext cx="8534399" cy="2519"/>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4154" name="テキスト ボックス 4153">
              <a:extLst>
                <a:ext uri="{FF2B5EF4-FFF2-40B4-BE49-F238E27FC236}">
                  <a16:creationId xmlns:a16="http://schemas.microsoft.com/office/drawing/2014/main" id="{B3606C33-4EF0-B2C7-B410-D6A8DE491BFB}"/>
                </a:ext>
              </a:extLst>
            </xdr:cNvPr>
            <xdr:cNvSpPr txBox="1"/>
          </xdr:nvSpPr>
          <xdr:spPr>
            <a:xfrm>
              <a:off x="23012400" y="2009775"/>
              <a:ext cx="2076450"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奈良県ホームページより</a:t>
              </a:r>
            </a:p>
          </xdr:txBody>
        </xdr:sp>
      </xdr:grpSp>
      <xdr:grpSp>
        <xdr:nvGrpSpPr>
          <xdr:cNvPr id="4141" name="グループ化 4140">
            <a:extLst>
              <a:ext uri="{FF2B5EF4-FFF2-40B4-BE49-F238E27FC236}">
                <a16:creationId xmlns:a16="http://schemas.microsoft.com/office/drawing/2014/main" id="{81344F2B-A9B1-8027-B014-38CEB9624A7D}"/>
              </a:ext>
            </a:extLst>
          </xdr:cNvPr>
          <xdr:cNvGrpSpPr/>
        </xdr:nvGrpSpPr>
        <xdr:grpSpPr>
          <a:xfrm>
            <a:off x="12115800" y="15773400"/>
            <a:ext cx="7038975" cy="4581377"/>
            <a:chOff x="11715750" y="19640550"/>
            <a:chExt cx="7038975" cy="4581377"/>
          </a:xfrm>
        </xdr:grpSpPr>
        <xdr:grpSp>
          <xdr:nvGrpSpPr>
            <xdr:cNvPr id="4143" name="グループ化 4142">
              <a:extLst>
                <a:ext uri="{FF2B5EF4-FFF2-40B4-BE49-F238E27FC236}">
                  <a16:creationId xmlns:a16="http://schemas.microsoft.com/office/drawing/2014/main" id="{11F24688-95CA-E75B-358D-1768A04CE8E0}"/>
                </a:ext>
              </a:extLst>
            </xdr:cNvPr>
            <xdr:cNvGrpSpPr/>
          </xdr:nvGrpSpPr>
          <xdr:grpSpPr>
            <a:xfrm>
              <a:off x="11715750" y="19640550"/>
              <a:ext cx="7038975" cy="4581377"/>
              <a:chOff x="11687175" y="19564350"/>
              <a:chExt cx="7038975" cy="4581377"/>
            </a:xfrm>
          </xdr:grpSpPr>
          <xdr:grpSp>
            <xdr:nvGrpSpPr>
              <xdr:cNvPr id="4146" name="グループ化 4145">
                <a:extLst>
                  <a:ext uri="{FF2B5EF4-FFF2-40B4-BE49-F238E27FC236}">
                    <a16:creationId xmlns:a16="http://schemas.microsoft.com/office/drawing/2014/main" id="{07770AF5-8322-D4E5-CFBA-921499B3A695}"/>
                  </a:ext>
                </a:extLst>
              </xdr:cNvPr>
              <xdr:cNvGrpSpPr/>
            </xdr:nvGrpSpPr>
            <xdr:grpSpPr>
              <a:xfrm>
                <a:off x="11687175" y="19564350"/>
                <a:ext cx="7038975" cy="4581377"/>
                <a:chOff x="11687175" y="19564350"/>
                <a:chExt cx="7038975" cy="4581377"/>
              </a:xfrm>
            </xdr:grpSpPr>
            <xdr:pic>
              <xdr:nvPicPr>
                <xdr:cNvPr id="4149" name="図 4148">
                  <a:extLst>
                    <a:ext uri="{FF2B5EF4-FFF2-40B4-BE49-F238E27FC236}">
                      <a16:creationId xmlns:a16="http://schemas.microsoft.com/office/drawing/2014/main" id="{405D55A9-0E3C-4EFE-2B34-157C973D072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687175" y="19564350"/>
                  <a:ext cx="7038975" cy="458137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150" name="四角形: 角を丸くする 4149">
                  <a:extLst>
                    <a:ext uri="{FF2B5EF4-FFF2-40B4-BE49-F238E27FC236}">
                      <a16:creationId xmlns:a16="http://schemas.microsoft.com/office/drawing/2014/main" id="{5509A175-4E44-21BF-EF09-DA8F95AE7449}"/>
                    </a:ext>
                  </a:extLst>
                </xdr:cNvPr>
                <xdr:cNvSpPr/>
              </xdr:nvSpPr>
              <xdr:spPr>
                <a:xfrm>
                  <a:off x="13592175" y="21516975"/>
                  <a:ext cx="876300" cy="81915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151" name="四角形: 角を丸くする 4150">
                  <a:extLst>
                    <a:ext uri="{FF2B5EF4-FFF2-40B4-BE49-F238E27FC236}">
                      <a16:creationId xmlns:a16="http://schemas.microsoft.com/office/drawing/2014/main" id="{FA3A63F9-D190-A374-672F-573557D80797}"/>
                    </a:ext>
                  </a:extLst>
                </xdr:cNvPr>
                <xdr:cNvSpPr/>
              </xdr:nvSpPr>
              <xdr:spPr>
                <a:xfrm>
                  <a:off x="13563600" y="23098125"/>
                  <a:ext cx="876300" cy="81915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152" name="テキスト ボックス 4151">
                  <a:extLst>
                    <a:ext uri="{FF2B5EF4-FFF2-40B4-BE49-F238E27FC236}">
                      <a16:creationId xmlns:a16="http://schemas.microsoft.com/office/drawing/2014/main" id="{42C26D99-D14B-8D41-20E3-C5411B8A23A6}"/>
                    </a:ext>
                  </a:extLst>
                </xdr:cNvPr>
                <xdr:cNvSpPr txBox="1"/>
              </xdr:nvSpPr>
              <xdr:spPr>
                <a:xfrm>
                  <a:off x="12563475" y="20212050"/>
                  <a:ext cx="2152650"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大阪市ホームページより</a:t>
                  </a:r>
                </a:p>
              </xdr:txBody>
            </xdr:sp>
          </xdr:grpSp>
          <xdr:sp macro="" textlink="">
            <xdr:nvSpPr>
              <xdr:cNvPr id="4147" name="楕円 4146">
                <a:extLst>
                  <a:ext uri="{FF2B5EF4-FFF2-40B4-BE49-F238E27FC236}">
                    <a16:creationId xmlns:a16="http://schemas.microsoft.com/office/drawing/2014/main" id="{23FD2ADA-4421-AED0-B227-CE5D2CBC1779}"/>
                  </a:ext>
                </a:extLst>
              </xdr:cNvPr>
              <xdr:cNvSpPr/>
            </xdr:nvSpPr>
            <xdr:spPr>
              <a:xfrm>
                <a:off x="12620625" y="21717000"/>
                <a:ext cx="733425" cy="7524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148" name="楕円 4147">
                <a:extLst>
                  <a:ext uri="{FF2B5EF4-FFF2-40B4-BE49-F238E27FC236}">
                    <a16:creationId xmlns:a16="http://schemas.microsoft.com/office/drawing/2014/main" id="{A5BDE8E3-BF0C-3047-AC8A-02064A4D164E}"/>
                  </a:ext>
                </a:extLst>
              </xdr:cNvPr>
              <xdr:cNvSpPr/>
            </xdr:nvSpPr>
            <xdr:spPr>
              <a:xfrm>
                <a:off x="12649200" y="23221950"/>
                <a:ext cx="733425" cy="7524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4144" name="四角形: 角を丸くする 4143">
              <a:extLst>
                <a:ext uri="{FF2B5EF4-FFF2-40B4-BE49-F238E27FC236}">
                  <a16:creationId xmlns:a16="http://schemas.microsoft.com/office/drawing/2014/main" id="{B0C64442-8D40-D7B1-6EFE-504F346CFE7C}"/>
                </a:ext>
              </a:extLst>
            </xdr:cNvPr>
            <xdr:cNvSpPr/>
          </xdr:nvSpPr>
          <xdr:spPr>
            <a:xfrm>
              <a:off x="11839574" y="20955000"/>
              <a:ext cx="714375" cy="1533524"/>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145" name="四角形: 角を丸くする 4144">
              <a:extLst>
                <a:ext uri="{FF2B5EF4-FFF2-40B4-BE49-F238E27FC236}">
                  <a16:creationId xmlns:a16="http://schemas.microsoft.com/office/drawing/2014/main" id="{5B1F515D-458D-CF5E-A78C-B2D6F9CD1B0A}"/>
                </a:ext>
              </a:extLst>
            </xdr:cNvPr>
            <xdr:cNvSpPr/>
          </xdr:nvSpPr>
          <xdr:spPr>
            <a:xfrm>
              <a:off x="11858625" y="22602825"/>
              <a:ext cx="714375" cy="1533524"/>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4142" name="テキスト ボックス 4141">
            <a:extLst>
              <a:ext uri="{FF2B5EF4-FFF2-40B4-BE49-F238E27FC236}">
                <a16:creationId xmlns:a16="http://schemas.microsoft.com/office/drawing/2014/main" id="{C73A1723-8853-E2BD-9AD8-3BBA6467DD18}"/>
              </a:ext>
            </a:extLst>
          </xdr:cNvPr>
          <xdr:cNvSpPr txBox="1"/>
        </xdr:nvSpPr>
        <xdr:spPr>
          <a:xfrm>
            <a:off x="12230097" y="13163550"/>
            <a:ext cx="6363277" cy="4476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b="1"/>
              <a:t>【</a:t>
            </a:r>
            <a:r>
              <a:rPr kumimoji="1" lang="ja-JP" altLang="en-US" sz="1600" b="1"/>
              <a:t>自治体のホームページから抜粋した非課税基準の例</a:t>
            </a:r>
            <a:r>
              <a:rPr kumimoji="1" lang="en-US" altLang="ja-JP" sz="1600" b="1"/>
              <a:t>】</a:t>
            </a:r>
            <a:endParaRPr kumimoji="1" lang="ja-JP" altLang="en-US" sz="1600" b="1"/>
          </a:p>
        </xdr:txBody>
      </xdr:sp>
    </xdr:grpSp>
    <xdr:clientData/>
  </xdr:twoCellAnchor>
  <xdr:twoCellAnchor editAs="oneCell">
    <xdr:from>
      <xdr:col>2</xdr:col>
      <xdr:colOff>441613</xdr:colOff>
      <xdr:row>98</xdr:row>
      <xdr:rowOff>164524</xdr:rowOff>
    </xdr:from>
    <xdr:to>
      <xdr:col>15</xdr:col>
      <xdr:colOff>536863</xdr:colOff>
      <xdr:row>104</xdr:row>
      <xdr:rowOff>119240</xdr:rowOff>
    </xdr:to>
    <xdr:pic>
      <xdr:nvPicPr>
        <xdr:cNvPr id="4158" name="図 4157">
          <a:extLst>
            <a:ext uri="{FF2B5EF4-FFF2-40B4-BE49-F238E27FC236}">
              <a16:creationId xmlns:a16="http://schemas.microsoft.com/office/drawing/2014/main" id="{7B2B4A09-6CE1-8047-3E02-D6826044E73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22613" y="15724910"/>
          <a:ext cx="9005455" cy="16172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217919</xdr:colOff>
      <xdr:row>6</xdr:row>
      <xdr:rowOff>0</xdr:rowOff>
    </xdr:from>
    <xdr:to>
      <xdr:col>17</xdr:col>
      <xdr:colOff>188825</xdr:colOff>
      <xdr:row>14</xdr:row>
      <xdr:rowOff>217355</xdr:rowOff>
    </xdr:to>
    <xdr:grpSp>
      <xdr:nvGrpSpPr>
        <xdr:cNvPr id="52" name="グループ化 51">
          <a:extLst>
            <a:ext uri="{FF2B5EF4-FFF2-40B4-BE49-F238E27FC236}">
              <a16:creationId xmlns:a16="http://schemas.microsoft.com/office/drawing/2014/main" id="{CFA87161-688E-0562-66CA-0ABAF14A5EB4}"/>
            </a:ext>
          </a:extLst>
        </xdr:cNvPr>
        <xdr:cNvGrpSpPr/>
      </xdr:nvGrpSpPr>
      <xdr:grpSpPr>
        <a:xfrm>
          <a:off x="355502" y="1862667"/>
          <a:ext cx="10554240" cy="2566855"/>
          <a:chOff x="350441" y="1871870"/>
          <a:chExt cx="10547818" cy="2586596"/>
        </a:xfrm>
      </xdr:grpSpPr>
      <xdr:grpSp>
        <xdr:nvGrpSpPr>
          <xdr:cNvPr id="126" name="グループ化 125">
            <a:extLst>
              <a:ext uri="{FF2B5EF4-FFF2-40B4-BE49-F238E27FC236}">
                <a16:creationId xmlns:a16="http://schemas.microsoft.com/office/drawing/2014/main" id="{5D454A32-158A-0C31-A31D-3FB5A2836B1C}"/>
              </a:ext>
            </a:extLst>
          </xdr:cNvPr>
          <xdr:cNvGrpSpPr/>
        </xdr:nvGrpSpPr>
        <xdr:grpSpPr>
          <a:xfrm>
            <a:off x="350441" y="1871870"/>
            <a:ext cx="10547818" cy="2586596"/>
            <a:chOff x="588817" y="1056409"/>
            <a:chExt cx="10507818" cy="2554453"/>
          </a:xfrm>
        </xdr:grpSpPr>
        <xdr:grpSp>
          <xdr:nvGrpSpPr>
            <xdr:cNvPr id="194" name="グループ化 193">
              <a:extLst>
                <a:ext uri="{FF2B5EF4-FFF2-40B4-BE49-F238E27FC236}">
                  <a16:creationId xmlns:a16="http://schemas.microsoft.com/office/drawing/2014/main" id="{6B5C012B-F32A-3D79-623B-1C33B92D21A7}"/>
                </a:ext>
              </a:extLst>
            </xdr:cNvPr>
            <xdr:cNvGrpSpPr/>
          </xdr:nvGrpSpPr>
          <xdr:grpSpPr>
            <a:xfrm>
              <a:off x="588817" y="1184448"/>
              <a:ext cx="10507818" cy="2426414"/>
              <a:chOff x="770323" y="1133246"/>
              <a:chExt cx="10474090" cy="2426414"/>
            </a:xfrm>
          </xdr:grpSpPr>
          <xdr:grpSp>
            <xdr:nvGrpSpPr>
              <xdr:cNvPr id="149" name="グループ化 148">
                <a:extLst>
                  <a:ext uri="{FF2B5EF4-FFF2-40B4-BE49-F238E27FC236}">
                    <a16:creationId xmlns:a16="http://schemas.microsoft.com/office/drawing/2014/main" id="{FF1685A0-5FA8-4071-AAFB-DA32C9C7FB26}"/>
                  </a:ext>
                </a:extLst>
              </xdr:cNvPr>
              <xdr:cNvGrpSpPr/>
            </xdr:nvGrpSpPr>
            <xdr:grpSpPr>
              <a:xfrm>
                <a:off x="770323" y="1133246"/>
                <a:ext cx="10474090" cy="2426414"/>
                <a:chOff x="268676" y="1009421"/>
                <a:chExt cx="10474090" cy="2426414"/>
              </a:xfrm>
            </xdr:grpSpPr>
            <xdr:sp macro="" textlink="">
              <xdr:nvSpPr>
                <xdr:cNvPr id="150" name="四角形: 角を丸くする 149">
                  <a:hlinkClick xmlns:r="http://schemas.openxmlformats.org/officeDocument/2006/relationships" r:id="rId6"/>
                  <a:extLst>
                    <a:ext uri="{FF2B5EF4-FFF2-40B4-BE49-F238E27FC236}">
                      <a16:creationId xmlns:a16="http://schemas.microsoft.com/office/drawing/2014/main" id="{5760E56C-7FCE-52E7-3E0A-BD5C12460FB5}"/>
                    </a:ext>
                  </a:extLst>
                </xdr:cNvPr>
                <xdr:cNvSpPr/>
              </xdr:nvSpPr>
              <xdr:spPr>
                <a:xfrm>
                  <a:off x="525049" y="1143000"/>
                  <a:ext cx="1650684" cy="410400"/>
                </a:xfrm>
                <a:prstGeom prst="roundRect">
                  <a:avLst/>
                </a:prstGeom>
                <a:solidFill>
                  <a:srgbClr val="FF0000">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５．使用上の注意</a:t>
                  </a:r>
                  <a:endParaRPr kumimoji="1" lang="ja-JP" altLang="en-US" sz="1200" b="1">
                    <a:solidFill>
                      <a:schemeClr val="bg1"/>
                    </a:solidFill>
                    <a:latin typeface="游ゴシック Medium" panose="020B0500000000000000" pitchFamily="50" charset="-128"/>
                    <a:ea typeface="游ゴシック Medium" panose="020B0500000000000000" pitchFamily="50" charset="-128"/>
                  </a:endParaRPr>
                </a:p>
              </xdr:txBody>
            </xdr:sp>
            <xdr:sp macro="" textlink="">
              <xdr:nvSpPr>
                <xdr:cNvPr id="151" name="矢印: 折線 150">
                  <a:extLst>
                    <a:ext uri="{FF2B5EF4-FFF2-40B4-BE49-F238E27FC236}">
                      <a16:creationId xmlns:a16="http://schemas.microsoft.com/office/drawing/2014/main" id="{6680616B-6A71-37DE-8DAA-9F5A13155965}"/>
                    </a:ext>
                  </a:extLst>
                </xdr:cNvPr>
                <xdr:cNvSpPr/>
              </xdr:nvSpPr>
              <xdr:spPr>
                <a:xfrm rot="14127606" flipH="1">
                  <a:off x="281764" y="1053970"/>
                  <a:ext cx="221581" cy="247757"/>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1">
                    <a:solidFill>
                      <a:schemeClr val="tx1"/>
                    </a:solidFill>
                    <a:latin typeface="游ゴシック Medium" panose="020B0500000000000000" pitchFamily="50" charset="-128"/>
                    <a:ea typeface="游ゴシック Medium" panose="020B0500000000000000" pitchFamily="50" charset="-128"/>
                  </a:endParaRPr>
                </a:p>
              </xdr:txBody>
            </xdr:sp>
            <xdr:grpSp>
              <xdr:nvGrpSpPr>
                <xdr:cNvPr id="152" name="グループ化 151">
                  <a:extLst>
                    <a:ext uri="{FF2B5EF4-FFF2-40B4-BE49-F238E27FC236}">
                      <a16:creationId xmlns:a16="http://schemas.microsoft.com/office/drawing/2014/main" id="{0B6F2155-3983-F8A7-1B23-389B925DBD33}"/>
                    </a:ext>
                  </a:extLst>
                </xdr:cNvPr>
                <xdr:cNvGrpSpPr/>
              </xdr:nvGrpSpPr>
              <xdr:grpSpPr>
                <a:xfrm>
                  <a:off x="2419351" y="1009421"/>
                  <a:ext cx="8323415" cy="2426414"/>
                  <a:chOff x="2419351" y="1009421"/>
                  <a:chExt cx="8323415" cy="2426414"/>
                </a:xfrm>
              </xdr:grpSpPr>
              <xdr:sp macro="" textlink="">
                <xdr:nvSpPr>
                  <xdr:cNvPr id="154" name="四角形: 角を丸くする 153">
                    <a:hlinkClick xmlns:r="http://schemas.openxmlformats.org/officeDocument/2006/relationships" r:id="rId7"/>
                    <a:extLst>
                      <a:ext uri="{FF2B5EF4-FFF2-40B4-BE49-F238E27FC236}">
                        <a16:creationId xmlns:a16="http://schemas.microsoft.com/office/drawing/2014/main" id="{C9F76492-5077-39B4-BE94-3D2951786FF9}"/>
                      </a:ext>
                    </a:extLst>
                  </xdr:cNvPr>
                  <xdr:cNvSpPr/>
                </xdr:nvSpPr>
                <xdr:spPr>
                  <a:xfrm>
                    <a:off x="2666999" y="1748271"/>
                    <a:ext cx="2520000" cy="410400"/>
                  </a:xfrm>
                  <a:prstGeom prst="roundRect">
                    <a:avLst/>
                  </a:prstGeom>
                  <a:solidFill>
                    <a:srgbClr val="0000FF">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２．保険料・地方税等入力画面</a:t>
                    </a:r>
                    <a:endParaRPr kumimoji="1" lang="ja-JP" altLang="en-US" sz="1200" b="1">
                      <a:solidFill>
                        <a:schemeClr val="bg1"/>
                      </a:solidFill>
                      <a:latin typeface="游ゴシック Medium" panose="020B0500000000000000" pitchFamily="50" charset="-128"/>
                      <a:ea typeface="游ゴシック Medium" panose="020B0500000000000000" pitchFamily="50" charset="-128"/>
                    </a:endParaRPr>
                  </a:p>
                </xdr:txBody>
              </xdr:sp>
              <xdr:sp macro="" textlink="">
                <xdr:nvSpPr>
                  <xdr:cNvPr id="157" name="四角形: 角を丸くする 156">
                    <a:hlinkClick xmlns:r="http://schemas.openxmlformats.org/officeDocument/2006/relationships" r:id="rId8"/>
                    <a:extLst>
                      <a:ext uri="{FF2B5EF4-FFF2-40B4-BE49-F238E27FC236}">
                        <a16:creationId xmlns:a16="http://schemas.microsoft.com/office/drawing/2014/main" id="{5410B7BA-F632-D728-AE46-5498F317B55D}"/>
                      </a:ext>
                    </a:extLst>
                  </xdr:cNvPr>
                  <xdr:cNvSpPr/>
                </xdr:nvSpPr>
                <xdr:spPr>
                  <a:xfrm>
                    <a:off x="5598784" y="2689230"/>
                    <a:ext cx="2395141" cy="746605"/>
                  </a:xfrm>
                  <a:prstGeom prst="roundRect">
                    <a:avLst/>
                  </a:prstGeom>
                  <a:solidFill>
                    <a:srgbClr val="FF0000">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４</a:t>
                    </a:r>
                    <a:r>
                      <a:rPr kumimoji="1" lang="en-US" altLang="ja-JP"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a:t>
                    </a:r>
                    <a:r>
                      <a:rPr kumimoji="1" lang="ja-JP" altLang="en-US"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２．手当等支給メニュー</a:t>
                    </a:r>
                    <a:endParaRPr kumimoji="1" lang="en-US" altLang="ja-JP"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endParaRPr>
                  </a:p>
                  <a:p>
                    <a:pPr algn="l"/>
                    <a:r>
                      <a:rPr kumimoji="1" lang="ja-JP" altLang="en-US"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　　　お知らせ！</a:t>
                    </a:r>
                    <a:endParaRPr kumimoji="1" lang="ja-JP" altLang="en-US" sz="1200" b="1">
                      <a:solidFill>
                        <a:schemeClr val="bg1"/>
                      </a:solidFill>
                      <a:latin typeface="游ゴシック Medium" panose="020B0500000000000000" pitchFamily="50" charset="-128"/>
                      <a:ea typeface="游ゴシック Medium" panose="020B0500000000000000" pitchFamily="50" charset="-128"/>
                    </a:endParaRPr>
                  </a:p>
                </xdr:txBody>
              </xdr:sp>
              <xdr:sp macro="" textlink="">
                <xdr:nvSpPr>
                  <xdr:cNvPr id="163" name="四角形: 角を丸くする 162">
                    <a:hlinkClick xmlns:r="http://schemas.openxmlformats.org/officeDocument/2006/relationships" r:id="rId9"/>
                    <a:extLst>
                      <a:ext uri="{FF2B5EF4-FFF2-40B4-BE49-F238E27FC236}">
                        <a16:creationId xmlns:a16="http://schemas.microsoft.com/office/drawing/2014/main" id="{CA0313FC-BAEF-5D5B-1B87-21557C69818E}"/>
                      </a:ext>
                    </a:extLst>
                  </xdr:cNvPr>
                  <xdr:cNvSpPr/>
                </xdr:nvSpPr>
                <xdr:spPr>
                  <a:xfrm>
                    <a:off x="2657475" y="1143000"/>
                    <a:ext cx="2520000" cy="410400"/>
                  </a:xfrm>
                  <a:prstGeom prst="roundRect">
                    <a:avLst/>
                  </a:prstGeom>
                  <a:solidFill>
                    <a:srgbClr val="FF99FF">
                      <a:alpha val="96863"/>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１．従業員データ入力画面</a:t>
                    </a:r>
                    <a:endParaRPr kumimoji="1" lang="en-US" altLang="ja-JP"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endParaRPr>
                  </a:p>
                </xdr:txBody>
              </xdr:sp>
              <xdr:grpSp>
                <xdr:nvGrpSpPr>
                  <xdr:cNvPr id="164" name="グループ化 163">
                    <a:extLst>
                      <a:ext uri="{FF2B5EF4-FFF2-40B4-BE49-F238E27FC236}">
                        <a16:creationId xmlns:a16="http://schemas.microsoft.com/office/drawing/2014/main" id="{2C37BB70-4FED-5D3C-C32A-F7ED81DD110F}"/>
                      </a:ext>
                    </a:extLst>
                  </xdr:cNvPr>
                  <xdr:cNvGrpSpPr/>
                </xdr:nvGrpSpPr>
                <xdr:grpSpPr>
                  <a:xfrm>
                    <a:off x="2419351" y="1019927"/>
                    <a:ext cx="228598" cy="2339897"/>
                    <a:chOff x="2409826" y="1019927"/>
                    <a:chExt cx="228598" cy="2339897"/>
                  </a:xfrm>
                </xdr:grpSpPr>
                <xdr:sp macro="" textlink="">
                  <xdr:nvSpPr>
                    <xdr:cNvPr id="176" name="矢印: 折線 175">
                      <a:extLst>
                        <a:ext uri="{FF2B5EF4-FFF2-40B4-BE49-F238E27FC236}">
                          <a16:creationId xmlns:a16="http://schemas.microsoft.com/office/drawing/2014/main" id="{1763721A-DA80-336C-0821-259171C0E511}"/>
                        </a:ext>
                      </a:extLst>
                    </xdr:cNvPr>
                    <xdr:cNvSpPr/>
                  </xdr:nvSpPr>
                  <xdr:spPr>
                    <a:xfrm rot="16200000" flipH="1">
                      <a:off x="1347877" y="2081876"/>
                      <a:ext cx="2339897" cy="216000"/>
                    </a:xfrm>
                    <a:prstGeom prst="bentArrow">
                      <a:avLst>
                        <a:gd name="adj1" fmla="val 25000"/>
                        <a:gd name="adj2" fmla="val 40385"/>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1">
                        <a:solidFill>
                          <a:schemeClr val="tx1"/>
                        </a:solidFill>
                        <a:latin typeface="游ゴシック Medium" panose="020B0500000000000000" pitchFamily="50" charset="-128"/>
                        <a:ea typeface="游ゴシック Medium" panose="020B0500000000000000" pitchFamily="50" charset="-128"/>
                      </a:endParaRPr>
                    </a:p>
                  </xdr:txBody>
                </xdr:sp>
                <xdr:sp macro="" textlink="">
                  <xdr:nvSpPr>
                    <xdr:cNvPr id="177" name="正方形/長方形 176">
                      <a:extLst>
                        <a:ext uri="{FF2B5EF4-FFF2-40B4-BE49-F238E27FC236}">
                          <a16:creationId xmlns:a16="http://schemas.microsoft.com/office/drawing/2014/main" id="{6D415DFF-DDE3-62C2-A494-EEA1000CBAE5}"/>
                        </a:ext>
                      </a:extLst>
                    </xdr:cNvPr>
                    <xdr:cNvSpPr/>
                  </xdr:nvSpPr>
                  <xdr:spPr>
                    <a:xfrm>
                      <a:off x="2514599" y="1304926"/>
                      <a:ext cx="114300" cy="57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1">
                        <a:latin typeface="游ゴシック Medium" panose="020B0500000000000000" pitchFamily="50" charset="-128"/>
                        <a:ea typeface="游ゴシック Medium" panose="020B0500000000000000" pitchFamily="50" charset="-128"/>
                      </a:endParaRPr>
                    </a:p>
                  </xdr:txBody>
                </xdr:sp>
                <xdr:sp macro="" textlink="">
                  <xdr:nvSpPr>
                    <xdr:cNvPr id="178" name="正方形/長方形 177">
                      <a:extLst>
                        <a:ext uri="{FF2B5EF4-FFF2-40B4-BE49-F238E27FC236}">
                          <a16:creationId xmlns:a16="http://schemas.microsoft.com/office/drawing/2014/main" id="{7932FF34-E14C-478A-092E-48F04CDAEEEA}"/>
                        </a:ext>
                      </a:extLst>
                    </xdr:cNvPr>
                    <xdr:cNvSpPr/>
                  </xdr:nvSpPr>
                  <xdr:spPr>
                    <a:xfrm>
                      <a:off x="2524124" y="1981201"/>
                      <a:ext cx="114300" cy="57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1">
                        <a:latin typeface="游ゴシック Medium" panose="020B0500000000000000" pitchFamily="50" charset="-128"/>
                        <a:ea typeface="游ゴシック Medium" panose="020B0500000000000000" pitchFamily="50" charset="-128"/>
                      </a:endParaRPr>
                    </a:p>
                  </xdr:txBody>
                </xdr:sp>
              </xdr:grpSp>
              <xdr:grpSp>
                <xdr:nvGrpSpPr>
                  <xdr:cNvPr id="165" name="グループ化 164">
                    <a:extLst>
                      <a:ext uri="{FF2B5EF4-FFF2-40B4-BE49-F238E27FC236}">
                        <a16:creationId xmlns:a16="http://schemas.microsoft.com/office/drawing/2014/main" id="{954E172C-F748-4E4A-AAE0-C0FA35077A02}"/>
                      </a:ext>
                    </a:extLst>
                  </xdr:cNvPr>
                  <xdr:cNvGrpSpPr/>
                </xdr:nvGrpSpPr>
                <xdr:grpSpPr>
                  <a:xfrm>
                    <a:off x="8221243" y="1494109"/>
                    <a:ext cx="123836" cy="957398"/>
                    <a:chOff x="5887618" y="1560783"/>
                    <a:chExt cx="123836" cy="957398"/>
                  </a:xfrm>
                </xdr:grpSpPr>
                <xdr:sp macro="" textlink="">
                  <xdr:nvSpPr>
                    <xdr:cNvPr id="173" name="正方形/長方形 172">
                      <a:extLst>
                        <a:ext uri="{FF2B5EF4-FFF2-40B4-BE49-F238E27FC236}">
                          <a16:creationId xmlns:a16="http://schemas.microsoft.com/office/drawing/2014/main" id="{0644C7DE-2F2F-8AB6-2DD6-C63A2820B83D}"/>
                        </a:ext>
                      </a:extLst>
                    </xdr:cNvPr>
                    <xdr:cNvSpPr/>
                  </xdr:nvSpPr>
                  <xdr:spPr>
                    <a:xfrm>
                      <a:off x="5887618" y="1560783"/>
                      <a:ext cx="114300" cy="57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1">
                        <a:latin typeface="游ゴシック Medium" panose="020B0500000000000000" pitchFamily="50" charset="-128"/>
                        <a:ea typeface="游ゴシック Medium" panose="020B0500000000000000" pitchFamily="50" charset="-128"/>
                      </a:endParaRPr>
                    </a:p>
                  </xdr:txBody>
                </xdr:sp>
                <xdr:sp macro="" textlink="">
                  <xdr:nvSpPr>
                    <xdr:cNvPr id="174" name="正方形/長方形 173">
                      <a:extLst>
                        <a:ext uri="{FF2B5EF4-FFF2-40B4-BE49-F238E27FC236}">
                          <a16:creationId xmlns:a16="http://schemas.microsoft.com/office/drawing/2014/main" id="{F41D3002-63AE-0CAF-D2F2-F19E734226B5}"/>
                        </a:ext>
                      </a:extLst>
                    </xdr:cNvPr>
                    <xdr:cNvSpPr/>
                  </xdr:nvSpPr>
                  <xdr:spPr>
                    <a:xfrm>
                      <a:off x="5897154" y="2461031"/>
                      <a:ext cx="114300" cy="57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1">
                        <a:latin typeface="游ゴシック Medium" panose="020B0500000000000000" pitchFamily="50" charset="-128"/>
                        <a:ea typeface="游ゴシック Medium" panose="020B0500000000000000" pitchFamily="50" charset="-128"/>
                      </a:endParaRPr>
                    </a:p>
                  </xdr:txBody>
                </xdr:sp>
              </xdr:grpSp>
              <xdr:grpSp>
                <xdr:nvGrpSpPr>
                  <xdr:cNvPr id="166" name="グループ化 165">
                    <a:extLst>
                      <a:ext uri="{FF2B5EF4-FFF2-40B4-BE49-F238E27FC236}">
                        <a16:creationId xmlns:a16="http://schemas.microsoft.com/office/drawing/2014/main" id="{98949297-859D-0804-F706-DCB652498D71}"/>
                      </a:ext>
                    </a:extLst>
                  </xdr:cNvPr>
                  <xdr:cNvGrpSpPr/>
                </xdr:nvGrpSpPr>
                <xdr:grpSpPr>
                  <a:xfrm>
                    <a:off x="5339776" y="1009421"/>
                    <a:ext cx="2996921" cy="2266587"/>
                    <a:chOff x="3006152" y="990372"/>
                    <a:chExt cx="2996921" cy="2266587"/>
                  </a:xfrm>
                </xdr:grpSpPr>
                <xdr:sp macro="" textlink="">
                  <xdr:nvSpPr>
                    <xdr:cNvPr id="118" name="矢印: 折線 117">
                      <a:extLst>
                        <a:ext uri="{FF2B5EF4-FFF2-40B4-BE49-F238E27FC236}">
                          <a16:creationId xmlns:a16="http://schemas.microsoft.com/office/drawing/2014/main" id="{9755CAD9-4E11-583C-C934-2887B5E66C0F}"/>
                        </a:ext>
                      </a:extLst>
                    </xdr:cNvPr>
                    <xdr:cNvSpPr/>
                  </xdr:nvSpPr>
                  <xdr:spPr>
                    <a:xfrm rot="16200000" flipH="1">
                      <a:off x="1996960" y="2009319"/>
                      <a:ext cx="2256832" cy="238448"/>
                    </a:xfrm>
                    <a:prstGeom prst="bentArrow">
                      <a:avLst>
                        <a:gd name="adj1" fmla="val 25000"/>
                        <a:gd name="adj2" fmla="val 40385"/>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1">
                        <a:solidFill>
                          <a:schemeClr val="tx1"/>
                        </a:solidFill>
                        <a:latin typeface="游ゴシック Medium" panose="020B0500000000000000" pitchFamily="50" charset="-128"/>
                        <a:ea typeface="游ゴシック Medium" panose="020B0500000000000000" pitchFamily="50" charset="-128"/>
                      </a:endParaRPr>
                    </a:p>
                  </xdr:txBody>
                </xdr:sp>
                <xdr:sp macro="" textlink="">
                  <xdr:nvSpPr>
                    <xdr:cNvPr id="121" name="正方形/長方形 120">
                      <a:extLst>
                        <a:ext uri="{FF2B5EF4-FFF2-40B4-BE49-F238E27FC236}">
                          <a16:creationId xmlns:a16="http://schemas.microsoft.com/office/drawing/2014/main" id="{766B82CA-E2F6-AED4-10E3-56B459F337FD}"/>
                        </a:ext>
                      </a:extLst>
                    </xdr:cNvPr>
                    <xdr:cNvSpPr/>
                  </xdr:nvSpPr>
                  <xdr:spPr>
                    <a:xfrm>
                      <a:off x="3120449" y="3022701"/>
                      <a:ext cx="114300" cy="57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1">
                        <a:latin typeface="游ゴシック Medium" panose="020B0500000000000000" pitchFamily="50" charset="-128"/>
                        <a:ea typeface="游ゴシック Medium" panose="020B0500000000000000" pitchFamily="50" charset="-128"/>
                      </a:endParaRPr>
                    </a:p>
                  </xdr:txBody>
                </xdr:sp>
                <xdr:sp macro="" textlink="">
                  <xdr:nvSpPr>
                    <xdr:cNvPr id="123" name="正方形/長方形 122">
                      <a:extLst>
                        <a:ext uri="{FF2B5EF4-FFF2-40B4-BE49-F238E27FC236}">
                          <a16:creationId xmlns:a16="http://schemas.microsoft.com/office/drawing/2014/main" id="{5A69417F-96CD-9CF7-3949-9C5539C92FA6}"/>
                        </a:ext>
                      </a:extLst>
                    </xdr:cNvPr>
                    <xdr:cNvSpPr/>
                  </xdr:nvSpPr>
                  <xdr:spPr>
                    <a:xfrm>
                      <a:off x="3119590" y="1294535"/>
                      <a:ext cx="114300" cy="57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1">
                        <a:latin typeface="游ゴシック Medium" panose="020B0500000000000000" pitchFamily="50" charset="-128"/>
                        <a:ea typeface="游ゴシック Medium" panose="020B0500000000000000" pitchFamily="50" charset="-128"/>
                      </a:endParaRPr>
                    </a:p>
                  </xdr:txBody>
                </xdr:sp>
                <xdr:sp macro="" textlink="">
                  <xdr:nvSpPr>
                    <xdr:cNvPr id="124" name="正方形/長方形 123">
                      <a:extLst>
                        <a:ext uri="{FF2B5EF4-FFF2-40B4-BE49-F238E27FC236}">
                          <a16:creationId xmlns:a16="http://schemas.microsoft.com/office/drawing/2014/main" id="{05D304A5-CC15-6D56-E02B-4BCF1C91C85B}"/>
                        </a:ext>
                      </a:extLst>
                    </xdr:cNvPr>
                    <xdr:cNvSpPr/>
                  </xdr:nvSpPr>
                  <xdr:spPr>
                    <a:xfrm>
                      <a:off x="3104863" y="2046053"/>
                      <a:ext cx="114300" cy="57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1">
                        <a:latin typeface="游ゴシック Medium" panose="020B0500000000000000" pitchFamily="50" charset="-128"/>
                        <a:ea typeface="游ゴシック Medium" panose="020B0500000000000000" pitchFamily="50" charset="-128"/>
                      </a:endParaRPr>
                    </a:p>
                  </xdr:txBody>
                </xdr:sp>
                <xdr:sp macro="" textlink="">
                  <xdr:nvSpPr>
                    <xdr:cNvPr id="145" name="矢印: 折線 144">
                      <a:extLst>
                        <a:ext uri="{FF2B5EF4-FFF2-40B4-BE49-F238E27FC236}">
                          <a16:creationId xmlns:a16="http://schemas.microsoft.com/office/drawing/2014/main" id="{D65E18CB-7A76-DB1D-82A0-D19BEE2A664C}"/>
                        </a:ext>
                      </a:extLst>
                    </xdr:cNvPr>
                    <xdr:cNvSpPr/>
                  </xdr:nvSpPr>
                  <xdr:spPr>
                    <a:xfrm rot="16200000" flipH="1">
                      <a:off x="5019299" y="1731547"/>
                      <a:ext cx="1724949" cy="242599"/>
                    </a:xfrm>
                    <a:prstGeom prst="bentArrow">
                      <a:avLst>
                        <a:gd name="adj1" fmla="val 25000"/>
                        <a:gd name="adj2" fmla="val 40385"/>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1">
                        <a:solidFill>
                          <a:schemeClr val="tx1"/>
                        </a:solidFill>
                        <a:latin typeface="游ゴシック Medium" panose="020B0500000000000000" pitchFamily="50" charset="-128"/>
                        <a:ea typeface="游ゴシック Medium" panose="020B0500000000000000" pitchFamily="50" charset="-128"/>
                      </a:endParaRPr>
                    </a:p>
                  </xdr:txBody>
                </xdr:sp>
              </xdr:grpSp>
              <xdr:sp macro="" textlink="">
                <xdr:nvSpPr>
                  <xdr:cNvPr id="117" name="四角形: 角を丸くする 116">
                    <a:hlinkClick xmlns:r="http://schemas.openxmlformats.org/officeDocument/2006/relationships" r:id="rId10"/>
                    <a:extLst>
                      <a:ext uri="{FF2B5EF4-FFF2-40B4-BE49-F238E27FC236}">
                        <a16:creationId xmlns:a16="http://schemas.microsoft.com/office/drawing/2014/main" id="{29175F60-DFCB-E014-6623-BED78D4F9457}"/>
                      </a:ext>
                    </a:extLst>
                  </xdr:cNvPr>
                  <xdr:cNvSpPr/>
                </xdr:nvSpPr>
                <xdr:spPr>
                  <a:xfrm>
                    <a:off x="5568374" y="1742504"/>
                    <a:ext cx="2395141" cy="754213"/>
                  </a:xfrm>
                  <a:prstGeom prst="roundRect">
                    <a:avLst/>
                  </a:prstGeom>
                  <a:solidFill>
                    <a:srgbClr val="FF0000">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４</a:t>
                    </a:r>
                    <a:r>
                      <a:rPr kumimoji="1" lang="en-US" altLang="ja-JP"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a:t>
                    </a:r>
                    <a:r>
                      <a:rPr kumimoji="1" lang="ja-JP" altLang="en-US"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１．手当等支給メニュー</a:t>
                    </a:r>
                    <a:endParaRPr kumimoji="1" lang="en-US" altLang="ja-JP"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endParaRPr>
                  </a:p>
                  <a:p>
                    <a:pPr algn="l"/>
                    <a:r>
                      <a:rPr kumimoji="1" lang="ja-JP" altLang="en-US"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　　（１・２年目</a:t>
                    </a:r>
                    <a:r>
                      <a:rPr kumimoji="1" lang="en-US" altLang="ja-JP"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or</a:t>
                    </a:r>
                    <a:r>
                      <a:rPr kumimoji="1" lang="ja-JP" altLang="en-US"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１年目）</a:t>
                    </a:r>
                    <a:endParaRPr kumimoji="1" lang="ja-JP" altLang="en-US" sz="1200" b="1">
                      <a:solidFill>
                        <a:schemeClr val="bg1"/>
                      </a:solidFill>
                      <a:latin typeface="游ゴシック Medium" panose="020B0500000000000000" pitchFamily="50" charset="-128"/>
                      <a:ea typeface="游ゴシック Medium" panose="020B0500000000000000" pitchFamily="50" charset="-128"/>
                    </a:endParaRPr>
                  </a:p>
                </xdr:txBody>
              </xdr:sp>
              <xdr:sp macro="" textlink="">
                <xdr:nvSpPr>
                  <xdr:cNvPr id="8" name="四角形: 角を丸くする 7">
                    <a:hlinkClick xmlns:r="http://schemas.openxmlformats.org/officeDocument/2006/relationships" r:id="rId11"/>
                    <a:extLst>
                      <a:ext uri="{FF2B5EF4-FFF2-40B4-BE49-F238E27FC236}">
                        <a16:creationId xmlns:a16="http://schemas.microsoft.com/office/drawing/2014/main" id="{3877D4E7-93F6-9157-C9FC-6CCD078AA6FA}"/>
                      </a:ext>
                    </a:extLst>
                  </xdr:cNvPr>
                  <xdr:cNvSpPr/>
                </xdr:nvSpPr>
                <xdr:spPr>
                  <a:xfrm>
                    <a:off x="8305252" y="1137897"/>
                    <a:ext cx="2395141" cy="754213"/>
                  </a:xfrm>
                  <a:prstGeom prst="roundRect">
                    <a:avLst/>
                  </a:prstGeom>
                  <a:solidFill>
                    <a:srgbClr val="FF6600">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４</a:t>
                    </a:r>
                    <a:r>
                      <a:rPr kumimoji="1" lang="en-US" altLang="ja-JP"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a:t>
                    </a:r>
                    <a:r>
                      <a:rPr kumimoji="1" lang="ja-JP" altLang="en-US"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３</a:t>
                    </a:r>
                    <a:r>
                      <a:rPr kumimoji="1" lang="en-US" altLang="ja-JP"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a:t>
                    </a:r>
                    <a:r>
                      <a:rPr kumimoji="1" lang="ja-JP" altLang="en-US"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手当等支給メニュー</a:t>
                    </a:r>
                    <a:endParaRPr kumimoji="1" lang="en-US" altLang="ja-JP"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endParaRPr>
                  </a:p>
                  <a:p>
                    <a:pPr algn="l"/>
                    <a:r>
                      <a:rPr kumimoji="1" lang="ja-JP" altLang="en-US"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　　（３年目</a:t>
                    </a:r>
                    <a:r>
                      <a:rPr kumimoji="1" lang="en-US" altLang="ja-JP"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or</a:t>
                    </a:r>
                    <a:r>
                      <a:rPr kumimoji="1" lang="ja-JP" altLang="en-US"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２年目）</a:t>
                    </a:r>
                    <a:endParaRPr kumimoji="1" lang="ja-JP" altLang="en-US" sz="1200" b="1">
                      <a:solidFill>
                        <a:schemeClr val="bg1"/>
                      </a:solidFill>
                      <a:latin typeface="游ゴシック Medium" panose="020B0500000000000000" pitchFamily="50" charset="-128"/>
                      <a:ea typeface="游ゴシック Medium" panose="020B0500000000000000" pitchFamily="50" charset="-128"/>
                    </a:endParaRPr>
                  </a:p>
                </xdr:txBody>
              </xdr:sp>
              <xdr:sp macro="" textlink="">
                <xdr:nvSpPr>
                  <xdr:cNvPr id="26" name="四角形: 角を丸くする 25">
                    <a:hlinkClick xmlns:r="http://schemas.openxmlformats.org/officeDocument/2006/relationships" r:id="rId12"/>
                    <a:extLst>
                      <a:ext uri="{FF2B5EF4-FFF2-40B4-BE49-F238E27FC236}">
                        <a16:creationId xmlns:a16="http://schemas.microsoft.com/office/drawing/2014/main" id="{14E35A4C-F0B5-2ACA-2921-3B6E961DCC25}"/>
                      </a:ext>
                    </a:extLst>
                  </xdr:cNvPr>
                  <xdr:cNvSpPr/>
                </xdr:nvSpPr>
                <xdr:spPr>
                  <a:xfrm>
                    <a:off x="8347626" y="2065405"/>
                    <a:ext cx="2395140" cy="754213"/>
                  </a:xfrm>
                  <a:prstGeom prst="roundRect">
                    <a:avLst/>
                  </a:prstGeom>
                  <a:solidFill>
                    <a:srgbClr val="FF6600">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spAutoFit/>
                  </a:bodyPr>
                  <a:lstStyle/>
                  <a:p>
                    <a:pPr algn="l"/>
                    <a:r>
                      <a:rPr kumimoji="1" lang="ja-JP" altLang="en-US"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４</a:t>
                    </a:r>
                    <a:r>
                      <a:rPr kumimoji="1" lang="en-US" altLang="ja-JP"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a:t>
                    </a:r>
                    <a:r>
                      <a:rPr kumimoji="1" lang="ja-JP" altLang="en-US"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４．手取り（見込み）年収</a:t>
                    </a:r>
                    <a:endParaRPr kumimoji="1" lang="en-US" altLang="ja-JP"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endParaRPr>
                  </a:p>
                  <a:p>
                    <a:pPr algn="l"/>
                    <a:r>
                      <a:rPr kumimoji="1" lang="ja-JP" altLang="en-US"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　のお知らせ</a:t>
                    </a:r>
                    <a:endParaRPr kumimoji="1" lang="ja-JP" altLang="en-US" sz="1200" b="1">
                      <a:solidFill>
                        <a:schemeClr val="bg1"/>
                      </a:solidFill>
                      <a:latin typeface="游ゴシック Medium" panose="020B0500000000000000" pitchFamily="50" charset="-128"/>
                      <a:ea typeface="游ゴシック Medium" panose="020B0500000000000000" pitchFamily="50" charset="-128"/>
                    </a:endParaRPr>
                  </a:p>
                </xdr:txBody>
              </xdr:sp>
            </xdr:grpSp>
          </xdr:grpSp>
          <xdr:sp macro="" textlink="">
            <xdr:nvSpPr>
              <xdr:cNvPr id="187" name="四角形: 角を丸くする 186">
                <a:hlinkClick xmlns:r="http://schemas.openxmlformats.org/officeDocument/2006/relationships" r:id="rId13"/>
                <a:extLst>
                  <a:ext uri="{FF2B5EF4-FFF2-40B4-BE49-F238E27FC236}">
                    <a16:creationId xmlns:a16="http://schemas.microsoft.com/office/drawing/2014/main" id="{2C9975F7-F8FF-4660-BDDB-5E6BE5D8EE78}"/>
                  </a:ext>
                </a:extLst>
              </xdr:cNvPr>
              <xdr:cNvSpPr/>
            </xdr:nvSpPr>
            <xdr:spPr>
              <a:xfrm>
                <a:off x="3169023" y="2479375"/>
                <a:ext cx="2520000" cy="410400"/>
              </a:xfrm>
              <a:prstGeom prst="roundRect">
                <a:avLst/>
              </a:prstGeom>
              <a:solidFill>
                <a:srgbClr val="00FFFF">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200" b="1" cap="none" spc="0">
                    <a:ln w="0"/>
                    <a:solidFill>
                      <a:schemeClr val="tx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３</a:t>
                </a:r>
                <a:r>
                  <a:rPr kumimoji="1" lang="en-US" altLang="ja-JP" sz="1200" b="1" cap="none" spc="0">
                    <a:ln w="0"/>
                    <a:solidFill>
                      <a:schemeClr val="tx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a:t>
                </a:r>
                <a:r>
                  <a:rPr kumimoji="1" lang="ja-JP" altLang="en-US" sz="1200" b="1" cap="none" spc="0">
                    <a:ln w="0"/>
                    <a:solidFill>
                      <a:schemeClr val="tx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１．標準報酬月額・保険料表</a:t>
                </a:r>
                <a:endParaRPr kumimoji="1" lang="ja-JP" altLang="en-US" sz="1200" b="1">
                  <a:solidFill>
                    <a:schemeClr val="tx1"/>
                  </a:solidFill>
                  <a:latin typeface="游ゴシック Medium" panose="020B0500000000000000" pitchFamily="50" charset="-128"/>
                  <a:ea typeface="游ゴシック Medium" panose="020B0500000000000000" pitchFamily="50" charset="-128"/>
                </a:endParaRPr>
              </a:p>
            </xdr:txBody>
          </xdr:sp>
          <xdr:sp macro="" textlink="">
            <xdr:nvSpPr>
              <xdr:cNvPr id="188" name="四角形: 角を丸くする 187">
                <a:hlinkClick xmlns:r="http://schemas.openxmlformats.org/officeDocument/2006/relationships" r:id="rId14"/>
                <a:extLst>
                  <a:ext uri="{FF2B5EF4-FFF2-40B4-BE49-F238E27FC236}">
                    <a16:creationId xmlns:a16="http://schemas.microsoft.com/office/drawing/2014/main" id="{71E7D615-CFA5-42FC-B593-BEB31B28D7CE}"/>
                  </a:ext>
                </a:extLst>
              </xdr:cNvPr>
              <xdr:cNvSpPr/>
            </xdr:nvSpPr>
            <xdr:spPr>
              <a:xfrm>
                <a:off x="3177682" y="3108614"/>
                <a:ext cx="2520000" cy="410400"/>
              </a:xfrm>
              <a:prstGeom prst="roundRect">
                <a:avLst/>
              </a:prstGeom>
              <a:solidFill>
                <a:srgbClr val="00FFFF">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200" b="1" cap="none" spc="0">
                    <a:ln w="0"/>
                    <a:solidFill>
                      <a:schemeClr val="tx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３</a:t>
                </a:r>
                <a:r>
                  <a:rPr kumimoji="1" lang="en-US" altLang="ja-JP" sz="1200" b="1" cap="none" spc="0">
                    <a:ln w="0"/>
                    <a:solidFill>
                      <a:schemeClr val="tx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a:t>
                </a:r>
                <a:r>
                  <a:rPr kumimoji="1" lang="ja-JP" altLang="en-US" sz="1200" b="1" cap="none" spc="0">
                    <a:ln w="0"/>
                    <a:solidFill>
                      <a:schemeClr val="tx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２．所得算出の参照表</a:t>
                </a:r>
                <a:endParaRPr kumimoji="1" lang="ja-JP" altLang="en-US" sz="1200" b="1">
                  <a:solidFill>
                    <a:schemeClr val="tx1"/>
                  </a:solidFill>
                  <a:latin typeface="游ゴシック Medium" panose="020B0500000000000000" pitchFamily="50" charset="-128"/>
                  <a:ea typeface="游ゴシック Medium" panose="020B0500000000000000" pitchFamily="50" charset="-128"/>
                </a:endParaRPr>
              </a:p>
            </xdr:txBody>
          </xdr:sp>
          <xdr:sp macro="" textlink="">
            <xdr:nvSpPr>
              <xdr:cNvPr id="192" name="正方形/長方形 191">
                <a:extLst>
                  <a:ext uri="{FF2B5EF4-FFF2-40B4-BE49-F238E27FC236}">
                    <a16:creationId xmlns:a16="http://schemas.microsoft.com/office/drawing/2014/main" id="{5B5D078A-5440-43C7-AC06-386463BB0864}"/>
                  </a:ext>
                </a:extLst>
              </xdr:cNvPr>
              <xdr:cNvSpPr/>
            </xdr:nvSpPr>
            <xdr:spPr>
              <a:xfrm>
                <a:off x="3048000" y="3276601"/>
                <a:ext cx="114300" cy="57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1">
                  <a:latin typeface="游ゴシック Medium" panose="020B0500000000000000" pitchFamily="50" charset="-128"/>
                  <a:ea typeface="游ゴシック Medium" panose="020B0500000000000000" pitchFamily="50" charset="-128"/>
                </a:endParaRPr>
              </a:p>
            </xdr:txBody>
          </xdr:sp>
          <xdr:sp macro="" textlink="">
            <xdr:nvSpPr>
              <xdr:cNvPr id="193" name="正方形/長方形 192">
                <a:extLst>
                  <a:ext uri="{FF2B5EF4-FFF2-40B4-BE49-F238E27FC236}">
                    <a16:creationId xmlns:a16="http://schemas.microsoft.com/office/drawing/2014/main" id="{7BC30917-212C-4666-9181-11028BE4D826}"/>
                  </a:ext>
                </a:extLst>
              </xdr:cNvPr>
              <xdr:cNvSpPr/>
            </xdr:nvSpPr>
            <xdr:spPr>
              <a:xfrm>
                <a:off x="3046270" y="2648318"/>
                <a:ext cx="114300" cy="57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1">
                  <a:latin typeface="游ゴシック Medium" panose="020B0500000000000000" pitchFamily="50" charset="-128"/>
                  <a:ea typeface="游ゴシック Medium" panose="020B0500000000000000" pitchFamily="50" charset="-128"/>
                </a:endParaRPr>
              </a:p>
            </xdr:txBody>
          </xdr:sp>
        </xdr:grpSp>
        <xdr:sp macro="" textlink="">
          <xdr:nvSpPr>
            <xdr:cNvPr id="4097" name="Text Box 1">
              <a:extLst>
                <a:ext uri="{FF2B5EF4-FFF2-40B4-BE49-F238E27FC236}">
                  <a16:creationId xmlns:a16="http://schemas.microsoft.com/office/drawing/2014/main" id="{C393B46D-CF8F-9972-015E-94C0AA5D5830}"/>
                </a:ext>
              </a:extLst>
            </xdr:cNvPr>
            <xdr:cNvSpPr txBox="1">
              <a:spLocks noChangeArrowheads="1"/>
            </xdr:cNvSpPr>
          </xdr:nvSpPr>
          <xdr:spPr bwMode="auto">
            <a:xfrm>
              <a:off x="3022023" y="1073728"/>
              <a:ext cx="2267417" cy="233796"/>
            </a:xfrm>
            <a:prstGeom prst="rect">
              <a:avLst/>
            </a:prstGeom>
            <a:solidFill>
              <a:srgbClr val="FFFFFF"/>
            </a:solidFill>
            <a:ln w="9525">
              <a:solidFill>
                <a:schemeClr val="bg1"/>
              </a:solidFill>
              <a:miter lim="800000"/>
              <a:headEnd/>
              <a:tailEnd/>
            </a:ln>
          </xdr:spPr>
          <xdr:txBody>
            <a:bodyPr vertOverflow="clip" wrap="square" lIns="27432" tIns="18288" rIns="0" bIns="0" anchor="t" upright="1"/>
            <a:lstStyle/>
            <a:p>
              <a:pPr algn="l" rtl="0">
                <a:lnSpc>
                  <a:spcPts val="1300"/>
                </a:lnSpc>
                <a:defRPr sz="1000"/>
              </a:pPr>
              <a:r>
                <a:rPr lang="ja-JP" altLang="en-US" sz="1100" b="1" i="0" u="sng" strike="noStrike" baseline="0">
                  <a:solidFill>
                    <a:srgbClr val="000000"/>
                  </a:solidFill>
                  <a:latin typeface="游ゴシック Medium" panose="020B0500000000000000" pitchFamily="50" charset="-128"/>
                  <a:ea typeface="游ゴシック Medium" panose="020B0500000000000000" pitchFamily="50" charset="-128"/>
                </a:rPr>
                <a:t>クリックして各シートにジャンプ</a:t>
              </a:r>
            </a:p>
          </xdr:txBody>
        </xdr:sp>
        <xdr:sp macro="" textlink="">
          <xdr:nvSpPr>
            <xdr:cNvPr id="120" name="Text Box 1">
              <a:extLst>
                <a:ext uri="{FF2B5EF4-FFF2-40B4-BE49-F238E27FC236}">
                  <a16:creationId xmlns:a16="http://schemas.microsoft.com/office/drawing/2014/main" id="{A8815BC1-84E5-4B4B-B716-EC4CB2B07EDC}"/>
                </a:ext>
              </a:extLst>
            </xdr:cNvPr>
            <xdr:cNvSpPr txBox="1">
              <a:spLocks noChangeArrowheads="1"/>
            </xdr:cNvSpPr>
          </xdr:nvSpPr>
          <xdr:spPr bwMode="auto">
            <a:xfrm>
              <a:off x="5914159" y="1056409"/>
              <a:ext cx="2254948" cy="233796"/>
            </a:xfrm>
            <a:prstGeom prst="rect">
              <a:avLst/>
            </a:prstGeom>
            <a:solidFill>
              <a:srgbClr val="FFFFFF"/>
            </a:solidFill>
            <a:ln w="9525">
              <a:solidFill>
                <a:schemeClr val="bg1"/>
              </a:solidFill>
              <a:miter lim="800000"/>
              <a:headEnd/>
              <a:tailEnd/>
            </a:ln>
          </xdr:spPr>
          <xdr:txBody>
            <a:bodyPr vertOverflow="clip" wrap="square" lIns="27432" tIns="18288" rIns="0" bIns="0" anchor="t" upright="1"/>
            <a:lstStyle/>
            <a:p>
              <a:pPr algn="l" rtl="0">
                <a:lnSpc>
                  <a:spcPts val="1300"/>
                </a:lnSpc>
                <a:defRPr sz="1000"/>
              </a:pPr>
              <a:r>
                <a:rPr lang="ja-JP" altLang="en-US" sz="1100" b="1" i="0" u="sng" strike="noStrike" baseline="0">
                  <a:solidFill>
                    <a:srgbClr val="000000"/>
                  </a:solidFill>
                  <a:latin typeface="游ゴシック Medium" panose="020B0500000000000000" pitchFamily="50" charset="-128"/>
                  <a:ea typeface="游ゴシック Medium" panose="020B0500000000000000" pitchFamily="50" charset="-128"/>
                </a:rPr>
                <a:t>クリックして各シートにジャンプ</a:t>
              </a:r>
            </a:p>
          </xdr:txBody>
        </xdr:sp>
        <xdr:sp macro="" textlink="">
          <xdr:nvSpPr>
            <xdr:cNvPr id="125" name="Text Box 1">
              <a:extLst>
                <a:ext uri="{FF2B5EF4-FFF2-40B4-BE49-F238E27FC236}">
                  <a16:creationId xmlns:a16="http://schemas.microsoft.com/office/drawing/2014/main" id="{82D8586F-7BE3-4068-BFA7-087CF81DA3F7}"/>
                </a:ext>
              </a:extLst>
            </xdr:cNvPr>
            <xdr:cNvSpPr txBox="1">
              <a:spLocks noChangeArrowheads="1"/>
            </xdr:cNvSpPr>
          </xdr:nvSpPr>
          <xdr:spPr bwMode="auto">
            <a:xfrm>
              <a:off x="8660693" y="1056409"/>
              <a:ext cx="2313828" cy="233796"/>
            </a:xfrm>
            <a:prstGeom prst="rect">
              <a:avLst/>
            </a:prstGeom>
            <a:solidFill>
              <a:srgbClr val="FFFFFF"/>
            </a:solidFill>
            <a:ln w="9525">
              <a:solidFill>
                <a:schemeClr val="bg1"/>
              </a:solidFill>
              <a:miter lim="800000"/>
              <a:headEnd/>
              <a:tailEnd/>
            </a:ln>
          </xdr:spPr>
          <xdr:txBody>
            <a:bodyPr vertOverflow="clip" wrap="square" lIns="27432" tIns="18288" rIns="0" bIns="0" anchor="t" upright="1"/>
            <a:lstStyle/>
            <a:p>
              <a:pPr algn="l" rtl="0">
                <a:lnSpc>
                  <a:spcPts val="1300"/>
                </a:lnSpc>
                <a:defRPr sz="1000"/>
              </a:pPr>
              <a:r>
                <a:rPr lang="ja-JP" altLang="en-US" sz="1100" b="1" i="0" u="sng" strike="noStrike" baseline="0">
                  <a:solidFill>
                    <a:srgbClr val="000000"/>
                  </a:solidFill>
                  <a:latin typeface="游ゴシック Medium" panose="020B0500000000000000" pitchFamily="50" charset="-128"/>
                  <a:ea typeface="游ゴシック Medium" panose="020B0500000000000000" pitchFamily="50" charset="-128"/>
                </a:rPr>
                <a:t>クリックして各シートにジャンプ</a:t>
              </a:r>
            </a:p>
          </xdr:txBody>
        </xdr:sp>
      </xdr:grpSp>
      <xdr:sp macro="" textlink="">
        <xdr:nvSpPr>
          <xdr:cNvPr id="10" name="四角形: 角を丸くする 9">
            <a:hlinkClick xmlns:r="http://schemas.openxmlformats.org/officeDocument/2006/relationships" r:id="rId15"/>
            <a:extLst>
              <a:ext uri="{FF2B5EF4-FFF2-40B4-BE49-F238E27FC236}">
                <a16:creationId xmlns:a16="http://schemas.microsoft.com/office/drawing/2014/main" id="{35F9F5E2-6858-4F5B-8E83-225685074F12}"/>
              </a:ext>
            </a:extLst>
          </xdr:cNvPr>
          <xdr:cNvSpPr/>
        </xdr:nvSpPr>
        <xdr:spPr>
          <a:xfrm>
            <a:off x="5703331" y="2131643"/>
            <a:ext cx="1742944" cy="418649"/>
          </a:xfrm>
          <a:prstGeom prst="roundRect">
            <a:avLst/>
          </a:prstGeom>
          <a:solidFill>
            <a:srgbClr val="FFFF00">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200" b="1" cap="none" spc="0">
                <a:ln w="0"/>
                <a:solidFill>
                  <a:schemeClr val="tx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４</a:t>
            </a:r>
            <a:r>
              <a:rPr kumimoji="1" lang="en-US" altLang="ja-JP" sz="1200" b="1" cap="none" spc="0">
                <a:ln w="0"/>
                <a:solidFill>
                  <a:schemeClr val="tx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a:t>
            </a:r>
            <a:r>
              <a:rPr kumimoji="1" lang="ja-JP" altLang="en-US" sz="1200" b="1" cap="none" spc="0">
                <a:ln w="0"/>
                <a:solidFill>
                  <a:schemeClr val="tx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０．設定仕様概要</a:t>
            </a:r>
            <a:endParaRPr kumimoji="1" lang="ja-JP" altLang="en-US" sz="1200" b="1">
              <a:solidFill>
                <a:schemeClr val="tx1"/>
              </a:solidFill>
              <a:latin typeface="游ゴシック Medium" panose="020B0500000000000000" pitchFamily="50" charset="-128"/>
              <a:ea typeface="游ゴシック Medium" panose="020B0500000000000000" pitchFamily="50" charset="-128"/>
            </a:endParaRPr>
          </a:p>
        </xdr:txBody>
      </xdr:sp>
    </xdr:grpSp>
    <xdr:clientData/>
  </xdr:twoCellAnchor>
  <xdr:twoCellAnchor>
    <xdr:from>
      <xdr:col>2</xdr:col>
      <xdr:colOff>342486</xdr:colOff>
      <xdr:row>9</xdr:row>
      <xdr:rowOff>34373</xdr:rowOff>
    </xdr:from>
    <xdr:to>
      <xdr:col>4</xdr:col>
      <xdr:colOff>417030</xdr:colOff>
      <xdr:row>10</xdr:row>
      <xdr:rowOff>151230</xdr:rowOff>
    </xdr:to>
    <xdr:sp macro="" textlink="">
      <xdr:nvSpPr>
        <xdr:cNvPr id="2" name="四角形: 角を丸くする 1">
          <a:extLst>
            <a:ext uri="{FF2B5EF4-FFF2-40B4-BE49-F238E27FC236}">
              <a16:creationId xmlns:a16="http://schemas.microsoft.com/office/drawing/2014/main" id="{AB7E300E-F2A9-43AF-840E-98782DDBC2BB}"/>
            </a:ext>
          </a:extLst>
        </xdr:cNvPr>
        <xdr:cNvSpPr/>
      </xdr:nvSpPr>
      <xdr:spPr>
        <a:xfrm>
          <a:off x="723486" y="2787098"/>
          <a:ext cx="1274694" cy="412132"/>
        </a:xfrm>
        <a:prstGeom prst="roundRect">
          <a:avLst/>
        </a:prstGeom>
        <a:solidFill>
          <a:srgbClr val="FFFF00">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ctr"/>
          <a:r>
            <a:rPr kumimoji="1" lang="ja-JP" altLang="en-US" sz="1200" b="1">
              <a:solidFill>
                <a:schemeClr val="tx1"/>
              </a:solidFill>
              <a:latin typeface="游ゴシック Medium" panose="020B0500000000000000" pitchFamily="50" charset="-128"/>
              <a:ea typeface="游ゴシック Medium" panose="020B0500000000000000" pitchFamily="50" charset="-128"/>
            </a:rPr>
            <a:t>操作手順</a:t>
          </a:r>
        </a:p>
      </xdr:txBody>
    </xdr:sp>
    <xdr:clientData/>
  </xdr:twoCellAnchor>
  <xdr:twoCellAnchor>
    <xdr:from>
      <xdr:col>2</xdr:col>
      <xdr:colOff>116417</xdr:colOff>
      <xdr:row>39</xdr:row>
      <xdr:rowOff>281609</xdr:rowOff>
    </xdr:from>
    <xdr:to>
      <xdr:col>23</xdr:col>
      <xdr:colOff>140805</xdr:colOff>
      <xdr:row>50</xdr:row>
      <xdr:rowOff>163583</xdr:rowOff>
    </xdr:to>
    <xdr:grpSp>
      <xdr:nvGrpSpPr>
        <xdr:cNvPr id="65" name="グループ化 64">
          <a:extLst>
            <a:ext uri="{FF2B5EF4-FFF2-40B4-BE49-F238E27FC236}">
              <a16:creationId xmlns:a16="http://schemas.microsoft.com/office/drawing/2014/main" id="{10C41681-70CD-8728-2956-AA0919AF405D}"/>
            </a:ext>
          </a:extLst>
        </xdr:cNvPr>
        <xdr:cNvGrpSpPr/>
      </xdr:nvGrpSpPr>
      <xdr:grpSpPr>
        <a:xfrm>
          <a:off x="497417" y="11637526"/>
          <a:ext cx="14491805" cy="3025224"/>
          <a:chOff x="497490" y="6038022"/>
          <a:chExt cx="14477467" cy="3070778"/>
        </a:xfrm>
      </xdr:grpSpPr>
      <xdr:sp macro="" textlink="">
        <xdr:nvSpPr>
          <xdr:cNvPr id="5" name="テキスト ボックス 4">
            <a:extLst>
              <a:ext uri="{FF2B5EF4-FFF2-40B4-BE49-F238E27FC236}">
                <a16:creationId xmlns:a16="http://schemas.microsoft.com/office/drawing/2014/main" id="{74513AC8-6BAB-469B-A9A7-6A157CCA47CB}"/>
              </a:ext>
            </a:extLst>
          </xdr:cNvPr>
          <xdr:cNvSpPr txBox="1"/>
        </xdr:nvSpPr>
        <xdr:spPr>
          <a:xfrm>
            <a:off x="497490" y="6203674"/>
            <a:ext cx="1672553" cy="18967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パスワードの保護解除　</a:t>
            </a:r>
            <a:endParaRPr kumimoji="1" lang="en-US" altLang="ja-JP" sz="1200" b="1"/>
          </a:p>
          <a:p>
            <a:r>
              <a:rPr kumimoji="1" lang="ja-JP" altLang="en-US" sz="1200" b="1"/>
              <a:t>　・保護の解除（シート単位）：</a:t>
            </a:r>
            <a:endParaRPr kumimoji="1" lang="en-US" altLang="ja-JP" sz="1200" b="1"/>
          </a:p>
          <a:p>
            <a:r>
              <a:rPr kumimoji="1" lang="ja-JP" altLang="en-US" sz="1200" b="1"/>
              <a:t>ツールバー「校閲」→「シートの保護（解除）→「パスワード」半角で入力</a:t>
            </a:r>
          </a:p>
          <a:p>
            <a:endParaRPr kumimoji="1" lang="ja-JP" altLang="en-US" sz="1200" b="1"/>
          </a:p>
        </xdr:txBody>
      </xdr:sp>
      <xdr:sp macro="" textlink="">
        <xdr:nvSpPr>
          <xdr:cNvPr id="21" name="テキスト ボックス 20">
            <a:extLst>
              <a:ext uri="{FF2B5EF4-FFF2-40B4-BE49-F238E27FC236}">
                <a16:creationId xmlns:a16="http://schemas.microsoft.com/office/drawing/2014/main" id="{2EB4E5BE-7C02-447C-A9A0-2EFB83862543}"/>
              </a:ext>
            </a:extLst>
          </xdr:cNvPr>
          <xdr:cNvSpPr txBox="1"/>
        </xdr:nvSpPr>
        <xdr:spPr>
          <a:xfrm>
            <a:off x="2526196" y="6245086"/>
            <a:ext cx="1225826" cy="17476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シート内の青字セル（入力セル）を列単位または複数選択します（Ｃｔｒｌキーを押しながら選択）。</a:t>
            </a:r>
          </a:p>
        </xdr:txBody>
      </xdr:sp>
      <xdr:sp macro="" textlink="">
        <xdr:nvSpPr>
          <xdr:cNvPr id="24" name="テキスト ボックス 23">
            <a:extLst>
              <a:ext uri="{FF2B5EF4-FFF2-40B4-BE49-F238E27FC236}">
                <a16:creationId xmlns:a16="http://schemas.microsoft.com/office/drawing/2014/main" id="{D04C8F13-9B32-437E-9E52-3F7581ED6CB2}"/>
              </a:ext>
            </a:extLst>
          </xdr:cNvPr>
          <xdr:cNvSpPr txBox="1"/>
        </xdr:nvSpPr>
        <xdr:spPr>
          <a:xfrm>
            <a:off x="4075043" y="6195391"/>
            <a:ext cx="1035326" cy="19132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選択範囲内でカーソル右クリック</a:t>
            </a:r>
            <a:endParaRPr kumimoji="1" lang="en-US" altLang="ja-JP" sz="1200" b="1"/>
          </a:p>
          <a:p>
            <a:r>
              <a:rPr kumimoji="1" lang="ja-JP" altLang="en-US" sz="1200" b="1"/>
              <a:t>⇒</a:t>
            </a:r>
            <a:endParaRPr kumimoji="1" lang="en-US" altLang="ja-JP" sz="1200" b="1"/>
          </a:p>
          <a:p>
            <a:r>
              <a:rPr kumimoji="1" lang="ja-JP" altLang="en-US" sz="1200" b="1"/>
              <a:t>メニューの検索から</a:t>
            </a:r>
            <a:endParaRPr kumimoji="1" lang="en-US" altLang="ja-JP" sz="1200" b="1"/>
          </a:p>
          <a:p>
            <a:r>
              <a:rPr kumimoji="1" lang="ja-JP" altLang="en-US" sz="1200" b="1"/>
              <a:t>「セルの書式設定」をクリック</a:t>
            </a:r>
          </a:p>
        </xdr:txBody>
      </xdr:sp>
      <xdr:sp macro="" textlink="">
        <xdr:nvSpPr>
          <xdr:cNvPr id="25" name="テキスト ボックス 24">
            <a:extLst>
              <a:ext uri="{FF2B5EF4-FFF2-40B4-BE49-F238E27FC236}">
                <a16:creationId xmlns:a16="http://schemas.microsoft.com/office/drawing/2014/main" id="{9C716428-0F7D-494D-9A00-B86AD3BDE052}"/>
              </a:ext>
            </a:extLst>
          </xdr:cNvPr>
          <xdr:cNvSpPr txBox="1"/>
        </xdr:nvSpPr>
        <xdr:spPr>
          <a:xfrm>
            <a:off x="7976153" y="6145696"/>
            <a:ext cx="1035326" cy="20375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「セルの書式設定」上部の「保護」をクリック</a:t>
            </a:r>
            <a:endParaRPr kumimoji="1" lang="en-US" altLang="ja-JP" sz="1200" b="1"/>
          </a:p>
          <a:p>
            <a:endParaRPr kumimoji="1" lang="en-US" altLang="ja-JP" sz="1200" b="1"/>
          </a:p>
          <a:p>
            <a:r>
              <a:rPr kumimoji="1" lang="ja-JP" altLang="en-US" sz="1200" b="1"/>
              <a:t>画面の「ロック」と「表示しない」のレ点を外す</a:t>
            </a:r>
          </a:p>
        </xdr:txBody>
      </xdr:sp>
      <xdr:sp macro="" textlink="">
        <xdr:nvSpPr>
          <xdr:cNvPr id="54" name="テキスト ボックス 53">
            <a:extLst>
              <a:ext uri="{FF2B5EF4-FFF2-40B4-BE49-F238E27FC236}">
                <a16:creationId xmlns:a16="http://schemas.microsoft.com/office/drawing/2014/main" id="{1BAEA020-D56C-477E-A612-34B61DB35D0A}"/>
              </a:ext>
            </a:extLst>
          </xdr:cNvPr>
          <xdr:cNvSpPr txBox="1"/>
        </xdr:nvSpPr>
        <xdr:spPr>
          <a:xfrm>
            <a:off x="13798827" y="6253368"/>
            <a:ext cx="1176130" cy="14908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1">
                <a:solidFill>
                  <a:schemeClr val="dk1"/>
                </a:solidFill>
                <a:effectLst/>
                <a:latin typeface="+mn-lt"/>
                <a:ea typeface="+mn-ea"/>
                <a:cs typeface="+mn-cs"/>
              </a:rPr>
              <a:t>ツールバー「校閲」→「シートの保護</a:t>
            </a:r>
            <a:r>
              <a:rPr kumimoji="1" lang="ja-JP" altLang="en-US"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1">
                <a:solidFill>
                  <a:schemeClr val="dk1"/>
                </a:solidFill>
                <a:effectLst/>
                <a:latin typeface="+mn-lt"/>
                <a:ea typeface="+mn-ea"/>
                <a:cs typeface="+mn-cs"/>
              </a:rPr>
              <a:t>パスワードなしで再保護をします。</a:t>
            </a:r>
            <a:endParaRPr lang="ja-JP" altLang="ja-JP" sz="12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200" b="1"/>
          </a:p>
        </xdr:txBody>
      </xdr:sp>
      <xdr:sp macro="" textlink="">
        <xdr:nvSpPr>
          <xdr:cNvPr id="3" name="矢印: 右 2">
            <a:extLst>
              <a:ext uri="{FF2B5EF4-FFF2-40B4-BE49-F238E27FC236}">
                <a16:creationId xmlns:a16="http://schemas.microsoft.com/office/drawing/2014/main" id="{A6CA6F55-9B76-2AA8-2D98-1407D195177F}"/>
              </a:ext>
            </a:extLst>
          </xdr:cNvPr>
          <xdr:cNvSpPr/>
        </xdr:nvSpPr>
        <xdr:spPr>
          <a:xfrm>
            <a:off x="2178326" y="6626087"/>
            <a:ext cx="240196" cy="356152"/>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矢印: 右 5">
            <a:extLst>
              <a:ext uri="{FF2B5EF4-FFF2-40B4-BE49-F238E27FC236}">
                <a16:creationId xmlns:a16="http://schemas.microsoft.com/office/drawing/2014/main" id="{EC787D2E-7069-4CD0-9850-4E6F35538901}"/>
              </a:ext>
            </a:extLst>
          </xdr:cNvPr>
          <xdr:cNvSpPr/>
        </xdr:nvSpPr>
        <xdr:spPr>
          <a:xfrm>
            <a:off x="13487399" y="6761921"/>
            <a:ext cx="240196" cy="356152"/>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矢印: 右 13">
            <a:extLst>
              <a:ext uri="{FF2B5EF4-FFF2-40B4-BE49-F238E27FC236}">
                <a16:creationId xmlns:a16="http://schemas.microsoft.com/office/drawing/2014/main" id="{5C944AB6-B325-4739-8207-6CCE2B2A6A31}"/>
              </a:ext>
            </a:extLst>
          </xdr:cNvPr>
          <xdr:cNvSpPr/>
        </xdr:nvSpPr>
        <xdr:spPr>
          <a:xfrm>
            <a:off x="7634908" y="6657560"/>
            <a:ext cx="240196" cy="356152"/>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矢印: 右 14">
            <a:extLst>
              <a:ext uri="{FF2B5EF4-FFF2-40B4-BE49-F238E27FC236}">
                <a16:creationId xmlns:a16="http://schemas.microsoft.com/office/drawing/2014/main" id="{AEED80AE-1297-43FB-8E45-F7CD5ACB21F1}"/>
              </a:ext>
            </a:extLst>
          </xdr:cNvPr>
          <xdr:cNvSpPr/>
        </xdr:nvSpPr>
        <xdr:spPr>
          <a:xfrm>
            <a:off x="3778526" y="6619461"/>
            <a:ext cx="240196" cy="356152"/>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次の値と等しい 18">
            <a:extLst>
              <a:ext uri="{FF2B5EF4-FFF2-40B4-BE49-F238E27FC236}">
                <a16:creationId xmlns:a16="http://schemas.microsoft.com/office/drawing/2014/main" id="{11AC2CA6-C68A-A1C2-D38E-F5CBAE0C8AFD}"/>
              </a:ext>
            </a:extLst>
          </xdr:cNvPr>
          <xdr:cNvSpPr/>
        </xdr:nvSpPr>
        <xdr:spPr>
          <a:xfrm>
            <a:off x="5068956" y="6617804"/>
            <a:ext cx="447261" cy="389283"/>
          </a:xfrm>
          <a:prstGeom prst="mathEqual">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grpSp>
        <xdr:nvGrpSpPr>
          <xdr:cNvPr id="55" name="グループ化 54">
            <a:extLst>
              <a:ext uri="{FF2B5EF4-FFF2-40B4-BE49-F238E27FC236}">
                <a16:creationId xmlns:a16="http://schemas.microsoft.com/office/drawing/2014/main" id="{7277AB5A-22C8-F846-81B4-038476EF330C}"/>
              </a:ext>
            </a:extLst>
          </xdr:cNvPr>
          <xdr:cNvGrpSpPr/>
        </xdr:nvGrpSpPr>
        <xdr:grpSpPr>
          <a:xfrm>
            <a:off x="5565912" y="6195391"/>
            <a:ext cx="2086387" cy="2913409"/>
            <a:chOff x="10899912" y="1449456"/>
            <a:chExt cx="2086387" cy="2913409"/>
          </a:xfrm>
        </xdr:grpSpPr>
        <xdr:pic>
          <xdr:nvPicPr>
            <xdr:cNvPr id="32" name="図 31">
              <a:extLst>
                <a:ext uri="{FF2B5EF4-FFF2-40B4-BE49-F238E27FC236}">
                  <a16:creationId xmlns:a16="http://schemas.microsoft.com/office/drawing/2014/main" id="{E101AEBE-0B8C-AFAD-6FC1-17A7E8553BB3}"/>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0899912" y="1449456"/>
              <a:ext cx="2077278" cy="146188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3" name="図 52">
              <a:extLst>
                <a:ext uri="{FF2B5EF4-FFF2-40B4-BE49-F238E27FC236}">
                  <a16:creationId xmlns:a16="http://schemas.microsoft.com/office/drawing/2014/main" id="{7E173A4E-C6C0-F64B-5D26-26F7AAD4A366}"/>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0966171" y="3056283"/>
              <a:ext cx="2020128" cy="1306582"/>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56" name="次の値と等しい 55">
            <a:extLst>
              <a:ext uri="{FF2B5EF4-FFF2-40B4-BE49-F238E27FC236}">
                <a16:creationId xmlns:a16="http://schemas.microsoft.com/office/drawing/2014/main" id="{F6ECC977-6BA7-440E-BA79-A61963E9CE42}"/>
              </a:ext>
            </a:extLst>
          </xdr:cNvPr>
          <xdr:cNvSpPr/>
        </xdr:nvSpPr>
        <xdr:spPr>
          <a:xfrm>
            <a:off x="8978348" y="6617804"/>
            <a:ext cx="447261" cy="389283"/>
          </a:xfrm>
          <a:prstGeom prst="mathEqual">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grpSp>
        <xdr:nvGrpSpPr>
          <xdr:cNvPr id="59" name="グループ化 58">
            <a:extLst>
              <a:ext uri="{FF2B5EF4-FFF2-40B4-BE49-F238E27FC236}">
                <a16:creationId xmlns:a16="http://schemas.microsoft.com/office/drawing/2014/main" id="{BB2C1088-980F-DDC5-816E-258A52541332}"/>
              </a:ext>
            </a:extLst>
          </xdr:cNvPr>
          <xdr:cNvGrpSpPr/>
        </xdr:nvGrpSpPr>
        <xdr:grpSpPr>
          <a:xfrm>
            <a:off x="9450457" y="6038022"/>
            <a:ext cx="4044398" cy="2674869"/>
            <a:chOff x="10187609" y="2517913"/>
            <a:chExt cx="4044398" cy="2674869"/>
          </a:xfrm>
        </xdr:grpSpPr>
        <xdr:pic>
          <xdr:nvPicPr>
            <xdr:cNvPr id="57" name="図 56">
              <a:extLst>
                <a:ext uri="{FF2B5EF4-FFF2-40B4-BE49-F238E27FC236}">
                  <a16:creationId xmlns:a16="http://schemas.microsoft.com/office/drawing/2014/main" id="{BCCB2297-3B08-D57B-3536-A3894A08EF28}"/>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0187609" y="2517913"/>
              <a:ext cx="4044398" cy="147140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8" name="図 57">
              <a:extLst>
                <a:ext uri="{FF2B5EF4-FFF2-40B4-BE49-F238E27FC236}">
                  <a16:creationId xmlns:a16="http://schemas.microsoft.com/office/drawing/2014/main" id="{6DD1BD85-2665-DF58-1FF5-65D07AD0CF6B}"/>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0220739" y="4000500"/>
              <a:ext cx="3987248" cy="1192282"/>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1</xdr:col>
      <xdr:colOff>231913</xdr:colOff>
      <xdr:row>1</xdr:row>
      <xdr:rowOff>33130</xdr:rowOff>
    </xdr:from>
    <xdr:to>
      <xdr:col>11</xdr:col>
      <xdr:colOff>342486</xdr:colOff>
      <xdr:row>3</xdr:row>
      <xdr:rowOff>331304</xdr:rowOff>
    </xdr:to>
    <xdr:sp macro="" textlink="">
      <xdr:nvSpPr>
        <xdr:cNvPr id="72" name="正方形/長方形 71">
          <a:extLst>
            <a:ext uri="{FF2B5EF4-FFF2-40B4-BE49-F238E27FC236}">
              <a16:creationId xmlns:a16="http://schemas.microsoft.com/office/drawing/2014/main" id="{866C36DF-774A-4D55-B942-69E6C66352FB}"/>
            </a:ext>
          </a:extLst>
        </xdr:cNvPr>
        <xdr:cNvSpPr/>
      </xdr:nvSpPr>
      <xdr:spPr>
        <a:xfrm>
          <a:off x="364435" y="207065"/>
          <a:ext cx="6562725" cy="770282"/>
        </a:xfrm>
        <a:prstGeom prst="rect">
          <a:avLst/>
        </a:prstGeom>
        <a:solidFill>
          <a:srgbClr val="008000"/>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600" b="1" u="sng">
              <a:solidFill>
                <a:schemeClr val="bg1"/>
              </a:solidFill>
            </a:rPr>
            <a:t>キャリアアップ助成金（社会保険適用時処遇改善コース）</a:t>
          </a:r>
          <a:endParaRPr kumimoji="1" lang="en-US" altLang="ja-JP" sz="1600" b="1" u="sng">
            <a:solidFill>
              <a:schemeClr val="bg1"/>
            </a:solidFill>
          </a:endParaRPr>
        </a:p>
        <a:p>
          <a:pPr algn="ctr"/>
          <a:r>
            <a:rPr kumimoji="1" lang="ja-JP" altLang="en-US" sz="1600" b="1" u="sng">
              <a:solidFill>
                <a:schemeClr val="bg1"/>
              </a:solidFill>
            </a:rPr>
            <a:t>活用シミュレーションソフト</a:t>
          </a:r>
          <a:endParaRPr kumimoji="1" lang="en-US" altLang="ja-JP" sz="1600" b="1" u="sng">
            <a:solidFill>
              <a:schemeClr val="bg1"/>
            </a:solidFill>
          </a:endParaRPr>
        </a:p>
      </xdr:txBody>
    </xdr:sp>
    <xdr:clientData/>
  </xdr:twoCellAnchor>
  <xdr:twoCellAnchor>
    <xdr:from>
      <xdr:col>9</xdr:col>
      <xdr:colOff>588064</xdr:colOff>
      <xdr:row>3</xdr:row>
      <xdr:rowOff>389283</xdr:rowOff>
    </xdr:from>
    <xdr:to>
      <xdr:col>13</xdr:col>
      <xdr:colOff>131738</xdr:colOff>
      <xdr:row>5</xdr:row>
      <xdr:rowOff>181630</xdr:rowOff>
    </xdr:to>
    <xdr:sp macro="" textlink="">
      <xdr:nvSpPr>
        <xdr:cNvPr id="74" name="四角形: 角を丸くする 73">
          <a:extLst>
            <a:ext uri="{FF2B5EF4-FFF2-40B4-BE49-F238E27FC236}">
              <a16:creationId xmlns:a16="http://schemas.microsoft.com/office/drawing/2014/main" id="{D6BD859D-28BC-4A3F-8656-E147DC05EE00}"/>
            </a:ext>
          </a:extLst>
        </xdr:cNvPr>
        <xdr:cNvSpPr/>
      </xdr:nvSpPr>
      <xdr:spPr>
        <a:xfrm>
          <a:off x="5607325" y="1035326"/>
          <a:ext cx="2484000" cy="720000"/>
        </a:xfrm>
        <a:prstGeom prst="roundRect">
          <a:avLst/>
        </a:prstGeom>
        <a:solidFill>
          <a:srgbClr val="FF00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手当等支給メニュー</a:t>
          </a:r>
          <a:endParaRPr kumimoji="1" lang="en-US" altLang="ja-JP" sz="1600" b="1"/>
        </a:p>
        <a:p>
          <a:pPr algn="ctr"/>
          <a:r>
            <a:rPr kumimoji="1" lang="ja-JP" altLang="en-US" sz="1400" b="1">
              <a:solidFill>
                <a:srgbClr val="FFFF00"/>
              </a:solidFill>
            </a:rPr>
            <a:t>（１・２年目ｏｒ１年目）</a:t>
          </a:r>
        </a:p>
      </xdr:txBody>
    </xdr:sp>
    <xdr:clientData/>
  </xdr:twoCellAnchor>
  <xdr:twoCellAnchor>
    <xdr:from>
      <xdr:col>13</xdr:col>
      <xdr:colOff>472109</xdr:colOff>
      <xdr:row>3</xdr:row>
      <xdr:rowOff>364436</xdr:rowOff>
    </xdr:from>
    <xdr:to>
      <xdr:col>17</xdr:col>
      <xdr:colOff>170283</xdr:colOff>
      <xdr:row>5</xdr:row>
      <xdr:rowOff>156783</xdr:rowOff>
    </xdr:to>
    <xdr:sp macro="" textlink="">
      <xdr:nvSpPr>
        <xdr:cNvPr id="75" name="四角形: 角を丸くする 74">
          <a:extLst>
            <a:ext uri="{FF2B5EF4-FFF2-40B4-BE49-F238E27FC236}">
              <a16:creationId xmlns:a16="http://schemas.microsoft.com/office/drawing/2014/main" id="{BD78EDFF-7497-4B5D-98E8-E92A79610213}"/>
            </a:ext>
          </a:extLst>
        </xdr:cNvPr>
        <xdr:cNvSpPr/>
      </xdr:nvSpPr>
      <xdr:spPr>
        <a:xfrm>
          <a:off x="8431696" y="1010479"/>
          <a:ext cx="2448000" cy="720000"/>
        </a:xfrm>
        <a:prstGeom prst="roundRect">
          <a:avLst/>
        </a:prstGeom>
        <a:solidFill>
          <a:srgbClr val="FF66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t>手当等支給メニュー</a:t>
          </a:r>
          <a:endParaRPr kumimoji="1" lang="en-US" altLang="ja-JP" sz="1600"/>
        </a:p>
        <a:p>
          <a:pPr algn="ctr"/>
          <a:r>
            <a:rPr kumimoji="1" lang="ja-JP" altLang="en-US" sz="1400">
              <a:solidFill>
                <a:srgbClr val="FFFF00"/>
              </a:solidFill>
            </a:rPr>
            <a:t>（３年目</a:t>
          </a:r>
          <a:r>
            <a:rPr kumimoji="1" lang="en-US" altLang="ja-JP" sz="1400">
              <a:solidFill>
                <a:srgbClr val="FFFF00"/>
              </a:solidFill>
            </a:rPr>
            <a:t>or</a:t>
          </a:r>
          <a:r>
            <a:rPr kumimoji="1" lang="ja-JP" altLang="en-US" sz="1400">
              <a:solidFill>
                <a:srgbClr val="FFFF00"/>
              </a:solidFill>
            </a:rPr>
            <a:t>２年目）</a:t>
          </a:r>
        </a:p>
      </xdr:txBody>
    </xdr:sp>
    <xdr:clientData/>
  </xdr:twoCellAnchor>
  <xdr:twoCellAnchor>
    <xdr:from>
      <xdr:col>3</xdr:col>
      <xdr:colOff>486740</xdr:colOff>
      <xdr:row>16</xdr:row>
      <xdr:rowOff>240058</xdr:rowOff>
    </xdr:from>
    <xdr:to>
      <xdr:col>6</xdr:col>
      <xdr:colOff>263524</xdr:colOff>
      <xdr:row>21</xdr:row>
      <xdr:rowOff>53975</xdr:rowOff>
    </xdr:to>
    <xdr:sp macro="" textlink="">
      <xdr:nvSpPr>
        <xdr:cNvPr id="4" name="四角形: 角を丸くする 3">
          <a:extLst>
            <a:ext uri="{FF2B5EF4-FFF2-40B4-BE49-F238E27FC236}">
              <a16:creationId xmlns:a16="http://schemas.microsoft.com/office/drawing/2014/main" id="{F7F03958-866F-4559-AB4E-340CD0DE66FC}"/>
            </a:ext>
          </a:extLst>
        </xdr:cNvPr>
        <xdr:cNvSpPr/>
      </xdr:nvSpPr>
      <xdr:spPr>
        <a:xfrm>
          <a:off x="1375740" y="5066058"/>
          <a:ext cx="1824659" cy="1242667"/>
        </a:xfrm>
        <a:prstGeom prst="roundRect">
          <a:avLst/>
        </a:prstGeom>
        <a:solidFill>
          <a:srgbClr val="C00000"/>
        </a:solidFill>
        <a:ln>
          <a:solidFill>
            <a:srgbClr val="339933"/>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t>手当等支給メニュー概要</a:t>
          </a:r>
        </a:p>
      </xdr:txBody>
    </xdr:sp>
    <xdr:clientData/>
  </xdr:twoCellAnchor>
  <xdr:twoCellAnchor editAs="oneCell">
    <xdr:from>
      <xdr:col>7</xdr:col>
      <xdr:colOff>418272</xdr:colOff>
      <xdr:row>15</xdr:row>
      <xdr:rowOff>189607</xdr:rowOff>
    </xdr:from>
    <xdr:to>
      <xdr:col>17</xdr:col>
      <xdr:colOff>256188</xdr:colOff>
      <xdr:row>22</xdr:row>
      <xdr:rowOff>246545</xdr:rowOff>
    </xdr:to>
    <xdr:pic>
      <xdr:nvPicPr>
        <xdr:cNvPr id="7" name="図 6">
          <a:extLst>
            <a:ext uri="{FF2B5EF4-FFF2-40B4-BE49-F238E27FC236}">
              <a16:creationId xmlns:a16="http://schemas.microsoft.com/office/drawing/2014/main" id="{E134C2BA-058E-E0BF-68AE-C4ADEA1266FA}"/>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037772" y="4729857"/>
          <a:ext cx="6854666" cy="2057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365401</xdr:colOff>
      <xdr:row>23</xdr:row>
      <xdr:rowOff>128934</xdr:rowOff>
    </xdr:from>
    <xdr:to>
      <xdr:col>28</xdr:col>
      <xdr:colOff>666456</xdr:colOff>
      <xdr:row>29</xdr:row>
      <xdr:rowOff>46089</xdr:rowOff>
    </xdr:to>
    <xdr:grpSp>
      <xdr:nvGrpSpPr>
        <xdr:cNvPr id="68" name="グループ化 67">
          <a:extLst>
            <a:ext uri="{FF2B5EF4-FFF2-40B4-BE49-F238E27FC236}">
              <a16:creationId xmlns:a16="http://schemas.microsoft.com/office/drawing/2014/main" id="{C012BDC2-D700-547E-C81D-0DEDB83A094B}"/>
            </a:ext>
          </a:extLst>
        </xdr:cNvPr>
        <xdr:cNvGrpSpPr/>
      </xdr:nvGrpSpPr>
      <xdr:grpSpPr>
        <a:xfrm>
          <a:off x="12462151" y="6912851"/>
          <a:ext cx="6492305" cy="1631655"/>
          <a:chOff x="11670196" y="3959088"/>
          <a:chExt cx="6488163" cy="1652362"/>
        </a:xfrm>
      </xdr:grpSpPr>
      <xdr:pic>
        <xdr:nvPicPr>
          <xdr:cNvPr id="51" name="図 50">
            <a:extLst>
              <a:ext uri="{FF2B5EF4-FFF2-40B4-BE49-F238E27FC236}">
                <a16:creationId xmlns:a16="http://schemas.microsoft.com/office/drawing/2014/main" id="{BE063809-1A8A-7F55-7DD4-40170F96FBFF}"/>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670196" y="3959088"/>
            <a:ext cx="6488163" cy="165236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6" name="正方形/長方形 65">
            <a:extLst>
              <a:ext uri="{FF2B5EF4-FFF2-40B4-BE49-F238E27FC236}">
                <a16:creationId xmlns:a16="http://schemas.microsoft.com/office/drawing/2014/main" id="{B2032CE7-BF41-2192-D2F5-41B604CE6438}"/>
              </a:ext>
            </a:extLst>
          </xdr:cNvPr>
          <xdr:cNvSpPr/>
        </xdr:nvSpPr>
        <xdr:spPr>
          <a:xfrm>
            <a:off x="12274822" y="4108174"/>
            <a:ext cx="472109" cy="27332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accent1">
                    <a:lumMod val="75000"/>
                  </a:schemeClr>
                </a:solidFill>
              </a:rPr>
              <a:t>-</a:t>
            </a:r>
            <a:r>
              <a:rPr kumimoji="1" lang="ja-JP" altLang="en-US" sz="1400" b="1">
                <a:solidFill>
                  <a:schemeClr val="accent1">
                    <a:lumMod val="75000"/>
                  </a:schemeClr>
                </a:solidFill>
              </a:rPr>
              <a:t>②</a:t>
            </a:r>
          </a:p>
        </xdr:txBody>
      </xdr:sp>
    </xdr:grpSp>
    <xdr:clientData/>
  </xdr:twoCellAnchor>
  <xdr:twoCellAnchor>
    <xdr:from>
      <xdr:col>9</xdr:col>
      <xdr:colOff>39390</xdr:colOff>
      <xdr:row>23</xdr:row>
      <xdr:rowOff>58530</xdr:rowOff>
    </xdr:from>
    <xdr:to>
      <xdr:col>19</xdr:col>
      <xdr:colOff>77029</xdr:colOff>
      <xdr:row>29</xdr:row>
      <xdr:rowOff>132246</xdr:rowOff>
    </xdr:to>
    <xdr:grpSp>
      <xdr:nvGrpSpPr>
        <xdr:cNvPr id="69" name="グループ化 68">
          <a:extLst>
            <a:ext uri="{FF2B5EF4-FFF2-40B4-BE49-F238E27FC236}">
              <a16:creationId xmlns:a16="http://schemas.microsoft.com/office/drawing/2014/main" id="{0A1AF704-0563-908A-FF2F-2A42BD06A6A8}"/>
            </a:ext>
          </a:extLst>
        </xdr:cNvPr>
        <xdr:cNvGrpSpPr/>
      </xdr:nvGrpSpPr>
      <xdr:grpSpPr>
        <a:xfrm>
          <a:off x="5066473" y="6842447"/>
          <a:ext cx="7107306" cy="1788216"/>
          <a:chOff x="11607710" y="2095500"/>
          <a:chExt cx="7102704" cy="1805609"/>
        </a:xfrm>
      </xdr:grpSpPr>
      <xdr:pic>
        <xdr:nvPicPr>
          <xdr:cNvPr id="40" name="図 39">
            <a:extLst>
              <a:ext uri="{FF2B5EF4-FFF2-40B4-BE49-F238E27FC236}">
                <a16:creationId xmlns:a16="http://schemas.microsoft.com/office/drawing/2014/main" id="{FA810071-559B-E774-220A-7AE7DCB0BC9A}"/>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1607710" y="2095500"/>
            <a:ext cx="7102704" cy="180560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7" name="正方形/長方形 66">
            <a:extLst>
              <a:ext uri="{FF2B5EF4-FFF2-40B4-BE49-F238E27FC236}">
                <a16:creationId xmlns:a16="http://schemas.microsoft.com/office/drawing/2014/main" id="{562C9EA6-8D8C-4E7E-8C9E-168A950EB53C}"/>
              </a:ext>
            </a:extLst>
          </xdr:cNvPr>
          <xdr:cNvSpPr/>
        </xdr:nvSpPr>
        <xdr:spPr>
          <a:xfrm>
            <a:off x="12241696" y="2236304"/>
            <a:ext cx="472109" cy="27332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accent1">
                    <a:lumMod val="75000"/>
                  </a:schemeClr>
                </a:solidFill>
              </a:rPr>
              <a:t>-</a:t>
            </a:r>
            <a:r>
              <a:rPr kumimoji="1" lang="ja-JP" altLang="en-US" sz="1400" b="1">
                <a:solidFill>
                  <a:schemeClr val="accent1">
                    <a:lumMod val="75000"/>
                  </a:schemeClr>
                </a:solidFill>
              </a:rPr>
              <a:t>①</a:t>
            </a:r>
            <a:endParaRPr kumimoji="1" lang="en-US" altLang="ja-JP" sz="1400" b="1">
              <a:solidFill>
                <a:schemeClr val="accent1">
                  <a:lumMod val="75000"/>
                </a:schemeClr>
              </a:solidFill>
            </a:endParaRPr>
          </a:p>
        </xdr:txBody>
      </xdr:sp>
    </xdr:grpSp>
    <xdr:clientData/>
  </xdr:twoCellAnchor>
  <xdr:twoCellAnchor>
    <xdr:from>
      <xdr:col>2</xdr:col>
      <xdr:colOff>57150</xdr:colOff>
      <xdr:row>54</xdr:row>
      <xdr:rowOff>180975</xdr:rowOff>
    </xdr:from>
    <xdr:to>
      <xdr:col>22</xdr:col>
      <xdr:colOff>295275</xdr:colOff>
      <xdr:row>60</xdr:row>
      <xdr:rowOff>47624</xdr:rowOff>
    </xdr:to>
    <xdr:grpSp>
      <xdr:nvGrpSpPr>
        <xdr:cNvPr id="4102" name="グループ化 4101">
          <a:extLst>
            <a:ext uri="{FF2B5EF4-FFF2-40B4-BE49-F238E27FC236}">
              <a16:creationId xmlns:a16="http://schemas.microsoft.com/office/drawing/2014/main" id="{8BCDC642-B075-445E-950E-C11BBA264F0D}"/>
            </a:ext>
          </a:extLst>
        </xdr:cNvPr>
        <xdr:cNvGrpSpPr/>
      </xdr:nvGrpSpPr>
      <xdr:grpSpPr>
        <a:xfrm>
          <a:off x="438150" y="15823142"/>
          <a:ext cx="14017625" cy="1432982"/>
          <a:chOff x="438150" y="11820525"/>
          <a:chExt cx="13973175" cy="1428749"/>
        </a:xfrm>
      </xdr:grpSpPr>
      <xdr:pic>
        <xdr:nvPicPr>
          <xdr:cNvPr id="18" name="図 17">
            <a:extLst>
              <a:ext uri="{FF2B5EF4-FFF2-40B4-BE49-F238E27FC236}">
                <a16:creationId xmlns:a16="http://schemas.microsoft.com/office/drawing/2014/main" id="{D84493C1-8621-9B61-3EC9-1B1B0EB6AA5F}"/>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38150" y="11947095"/>
            <a:ext cx="13839825" cy="130217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101" name="正方形/長方形 4100">
            <a:extLst>
              <a:ext uri="{FF2B5EF4-FFF2-40B4-BE49-F238E27FC236}">
                <a16:creationId xmlns:a16="http://schemas.microsoft.com/office/drawing/2014/main" id="{C9297806-E8A0-3584-6237-5C01B964E170}"/>
              </a:ext>
            </a:extLst>
          </xdr:cNvPr>
          <xdr:cNvSpPr/>
        </xdr:nvSpPr>
        <xdr:spPr>
          <a:xfrm>
            <a:off x="13830300" y="11820525"/>
            <a:ext cx="581025" cy="238125"/>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1</xdr:col>
      <xdr:colOff>228600</xdr:colOff>
      <xdr:row>62</xdr:row>
      <xdr:rowOff>19050</xdr:rowOff>
    </xdr:from>
    <xdr:to>
      <xdr:col>27</xdr:col>
      <xdr:colOff>590550</xdr:colOff>
      <xdr:row>68</xdr:row>
      <xdr:rowOff>209550</xdr:rowOff>
    </xdr:to>
    <xdr:pic>
      <xdr:nvPicPr>
        <xdr:cNvPr id="4109" name="図 4108">
          <a:extLst>
            <a:ext uri="{FF2B5EF4-FFF2-40B4-BE49-F238E27FC236}">
              <a16:creationId xmlns:a16="http://schemas.microsoft.com/office/drawing/2014/main" id="{7CA24044-32ED-DADD-8AFC-175BAEA7FA3A}"/>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361950" y="13792200"/>
          <a:ext cx="17773650" cy="190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398318</xdr:colOff>
      <xdr:row>63</xdr:row>
      <xdr:rowOff>215611</xdr:rowOff>
    </xdr:from>
    <xdr:to>
      <xdr:col>21</xdr:col>
      <xdr:colOff>8659</xdr:colOff>
      <xdr:row>66</xdr:row>
      <xdr:rowOff>174047</xdr:rowOff>
    </xdr:to>
    <xdr:sp macro="" textlink="">
      <xdr:nvSpPr>
        <xdr:cNvPr id="20" name="楕円 19">
          <a:extLst>
            <a:ext uri="{FF2B5EF4-FFF2-40B4-BE49-F238E27FC236}">
              <a16:creationId xmlns:a16="http://schemas.microsoft.com/office/drawing/2014/main" id="{1656C7B8-CB9F-4728-95F6-5045AFD37577}"/>
            </a:ext>
          </a:extLst>
        </xdr:cNvPr>
        <xdr:cNvSpPr/>
      </xdr:nvSpPr>
      <xdr:spPr>
        <a:xfrm>
          <a:off x="10399568" y="14274511"/>
          <a:ext cx="3039341" cy="815686"/>
        </a:xfrm>
        <a:prstGeom prst="ellipse">
          <a:avLst/>
        </a:prstGeom>
        <a:noFill/>
        <a:ln w="28575"/>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24</xdr:col>
      <xdr:colOff>315191</xdr:colOff>
      <xdr:row>60</xdr:row>
      <xdr:rowOff>145473</xdr:rowOff>
    </xdr:from>
    <xdr:to>
      <xdr:col>27</xdr:col>
      <xdr:colOff>332510</xdr:colOff>
      <xdr:row>63</xdr:row>
      <xdr:rowOff>124047</xdr:rowOff>
    </xdr:to>
    <xdr:sp macro="" textlink="">
      <xdr:nvSpPr>
        <xdr:cNvPr id="22" name="吹き出し: 折線 (枠付き、強調線付き) 21">
          <a:extLst>
            <a:ext uri="{FF2B5EF4-FFF2-40B4-BE49-F238E27FC236}">
              <a16:creationId xmlns:a16="http://schemas.microsoft.com/office/drawing/2014/main" id="{82E0B309-25E8-45F9-A172-8AE28E1F232D}"/>
            </a:ext>
          </a:extLst>
        </xdr:cNvPr>
        <xdr:cNvSpPr/>
      </xdr:nvSpPr>
      <xdr:spPr>
        <a:xfrm>
          <a:off x="15802841" y="13347123"/>
          <a:ext cx="2074719" cy="835824"/>
        </a:xfrm>
        <a:prstGeom prst="accentBorderCallout2">
          <a:avLst>
            <a:gd name="adj1" fmla="val 82532"/>
            <a:gd name="adj2" fmla="val -5145"/>
            <a:gd name="adj3" fmla="val 88563"/>
            <a:gd name="adj4" fmla="val -40029"/>
            <a:gd name="adj5" fmla="val 128565"/>
            <a:gd name="adj6" fmla="val -140854"/>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ja-JP" altLang="en-US" sz="1100" b="1" i="0" u="none" strike="noStrike">
              <a:solidFill>
                <a:schemeClr val="dk1"/>
              </a:solidFill>
              <a:effectLst/>
              <a:latin typeface="+mn-lt"/>
              <a:ea typeface="+mn-ea"/>
              <a:cs typeface="+mn-cs"/>
            </a:rPr>
            <a:t>・月収社会保険適用拡大基準</a:t>
          </a:r>
          <a:endParaRPr lang="en-US" altLang="ja-JP" sz="1100" b="1" i="0" u="none" strike="noStrike">
            <a:solidFill>
              <a:schemeClr val="dk1"/>
            </a:solidFill>
            <a:effectLst/>
            <a:latin typeface="+mn-lt"/>
            <a:ea typeface="+mn-ea"/>
            <a:cs typeface="+mn-cs"/>
          </a:endParaRPr>
        </a:p>
        <a:p>
          <a:pPr algn="l"/>
          <a:r>
            <a:rPr lang="ja-JP" altLang="en-US" sz="1100" b="1" i="0" u="none" strike="noStrike">
              <a:solidFill>
                <a:schemeClr val="dk1"/>
              </a:solidFill>
              <a:effectLst/>
              <a:latin typeface="+mn-lt"/>
              <a:ea typeface="+mn-ea"/>
              <a:cs typeface="+mn-cs"/>
            </a:rPr>
            <a:t>・月収年収算定基準</a:t>
          </a:r>
          <a:endParaRPr lang="en-US" altLang="ja-JP" sz="1100" b="1" i="0" u="none" strike="noStrike">
            <a:solidFill>
              <a:schemeClr val="dk1"/>
            </a:solidFill>
            <a:effectLst/>
            <a:latin typeface="+mn-lt"/>
            <a:ea typeface="+mn-ea"/>
            <a:cs typeface="+mn-cs"/>
          </a:endParaRPr>
        </a:p>
        <a:p>
          <a:pPr algn="l"/>
          <a:r>
            <a:rPr lang="ja-JP" altLang="en-US" sz="1100" b="1" i="0" u="none" strike="noStrike">
              <a:solidFill>
                <a:schemeClr val="dk1"/>
              </a:solidFill>
              <a:effectLst/>
              <a:latin typeface="+mn-lt"/>
              <a:ea typeface="+mn-ea"/>
              <a:cs typeface="+mn-cs"/>
            </a:rPr>
            <a:t>・月収標準報酬月額算定基準</a:t>
          </a:r>
          <a:endParaRPr lang="en-US" altLang="ja-JP" sz="1100" b="1" i="0" u="none" strike="noStrike">
            <a:solidFill>
              <a:schemeClr val="dk1"/>
            </a:solidFill>
            <a:effectLst/>
            <a:latin typeface="+mn-lt"/>
            <a:ea typeface="+mn-ea"/>
            <a:cs typeface="+mn-cs"/>
          </a:endParaRPr>
        </a:p>
        <a:p>
          <a:pPr algn="l"/>
          <a:r>
            <a:rPr lang="ja-JP" altLang="en-US" sz="1100" b="1" i="0" u="none" strike="noStrike">
              <a:solidFill>
                <a:schemeClr val="dk1"/>
              </a:solidFill>
              <a:effectLst/>
              <a:latin typeface="+mn-lt"/>
              <a:ea typeface="+mn-ea"/>
              <a:cs typeface="+mn-cs"/>
            </a:rPr>
            <a:t>上記３区分で集計　</a:t>
          </a:r>
          <a:endParaRPr lang="en-US" altLang="ja-JP" sz="1100" b="1" i="0" u="none" strike="noStrike">
            <a:solidFill>
              <a:schemeClr val="dk1"/>
            </a:solidFill>
            <a:effectLst/>
            <a:latin typeface="+mn-lt"/>
            <a:ea typeface="+mn-ea"/>
            <a:cs typeface="+mn-cs"/>
          </a:endParaRPr>
        </a:p>
      </xdr:txBody>
    </xdr:sp>
    <xdr:clientData/>
  </xdr:twoCellAnchor>
  <xdr:twoCellAnchor>
    <xdr:from>
      <xdr:col>10</xdr:col>
      <xdr:colOff>455084</xdr:colOff>
      <xdr:row>68</xdr:row>
      <xdr:rowOff>276127</xdr:rowOff>
    </xdr:from>
    <xdr:to>
      <xdr:col>19</xdr:col>
      <xdr:colOff>243417</xdr:colOff>
      <xdr:row>76</xdr:row>
      <xdr:rowOff>163560</xdr:rowOff>
    </xdr:to>
    <xdr:sp macro="" textlink="">
      <xdr:nvSpPr>
        <xdr:cNvPr id="23" name="吹き出し: 折線 (枠付き、強調線付き) 22">
          <a:extLst>
            <a:ext uri="{FF2B5EF4-FFF2-40B4-BE49-F238E27FC236}">
              <a16:creationId xmlns:a16="http://schemas.microsoft.com/office/drawing/2014/main" id="{635B2EF3-37B9-4551-A666-50AD2C9E52EB}"/>
            </a:ext>
          </a:extLst>
        </xdr:cNvPr>
        <xdr:cNvSpPr/>
      </xdr:nvSpPr>
      <xdr:spPr>
        <a:xfrm>
          <a:off x="6360584" y="19770627"/>
          <a:ext cx="5979583" cy="2173433"/>
        </a:xfrm>
        <a:prstGeom prst="accentBorderCallout2">
          <a:avLst>
            <a:gd name="adj1" fmla="val 61815"/>
            <a:gd name="adj2" fmla="val -607"/>
            <a:gd name="adj3" fmla="val 68613"/>
            <a:gd name="adj4" fmla="val -19491"/>
            <a:gd name="adj5" fmla="val -75807"/>
            <a:gd name="adj6" fmla="val -72143"/>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ja-JP" altLang="en-US" sz="1100" b="1" i="0" u="sng" strike="noStrike">
              <a:solidFill>
                <a:schemeClr val="dk1"/>
              </a:solidFill>
              <a:effectLst/>
              <a:latin typeface="+mj-ea"/>
              <a:ea typeface="+mj-ea"/>
              <a:cs typeface="+mn-cs"/>
            </a:rPr>
            <a:t>問 </a:t>
          </a:r>
          <a:r>
            <a:rPr lang="en-US" altLang="ja-JP" sz="1100" b="1" i="0" u="sng" strike="noStrike">
              <a:solidFill>
                <a:schemeClr val="dk1"/>
              </a:solidFill>
              <a:effectLst/>
              <a:latin typeface="+mj-ea"/>
              <a:ea typeface="+mj-ea"/>
              <a:cs typeface="+mn-cs"/>
            </a:rPr>
            <a:t>41 </a:t>
          </a:r>
          <a:r>
            <a:rPr lang="ja-JP" altLang="en-US" sz="1100" b="1" i="0" u="sng" strike="noStrike">
              <a:solidFill>
                <a:schemeClr val="dk1"/>
              </a:solidFill>
              <a:effectLst/>
              <a:latin typeface="+mj-ea"/>
              <a:ea typeface="+mj-ea"/>
              <a:cs typeface="+mn-cs"/>
            </a:rPr>
            <a:t>月額賃金が </a:t>
          </a:r>
          <a:r>
            <a:rPr lang="en-US" altLang="ja-JP" sz="1100" b="1" i="0" u="sng" strike="noStrike">
              <a:solidFill>
                <a:schemeClr val="dk1"/>
              </a:solidFill>
              <a:effectLst/>
              <a:latin typeface="+mj-ea"/>
              <a:ea typeface="+mj-ea"/>
              <a:cs typeface="+mn-cs"/>
            </a:rPr>
            <a:t>8.8 </a:t>
          </a:r>
          <a:r>
            <a:rPr lang="ja-JP" altLang="en-US" sz="1100" b="1" i="0" u="sng" strike="noStrike">
              <a:solidFill>
                <a:schemeClr val="dk1"/>
              </a:solidFill>
              <a:effectLst/>
              <a:latin typeface="+mj-ea"/>
              <a:ea typeface="+mj-ea"/>
              <a:cs typeface="+mn-cs"/>
            </a:rPr>
            <a:t>万円以上の算定基礎となる賃金には、どのようなものが含まれるのか。</a:t>
          </a:r>
        </a:p>
        <a:p>
          <a:pPr algn="l"/>
          <a:r>
            <a:rPr lang="ja-JP" altLang="en-US" sz="1100" b="1" i="0" u="none" strike="noStrike">
              <a:solidFill>
                <a:schemeClr val="dk1"/>
              </a:solidFill>
              <a:effectLst/>
              <a:latin typeface="+mj-ea"/>
              <a:ea typeface="+mj-ea"/>
              <a:cs typeface="+mn-cs"/>
            </a:rPr>
            <a:t>（答）月額賃金 </a:t>
          </a:r>
          <a:r>
            <a:rPr lang="en-US" altLang="ja-JP" sz="1100" b="1" i="0" u="none" strike="noStrike">
              <a:solidFill>
                <a:schemeClr val="dk1"/>
              </a:solidFill>
              <a:effectLst/>
              <a:latin typeface="+mj-ea"/>
              <a:ea typeface="+mj-ea"/>
              <a:cs typeface="+mn-cs"/>
            </a:rPr>
            <a:t>8.8 </a:t>
          </a:r>
          <a:r>
            <a:rPr lang="ja-JP" altLang="en-US" sz="1100" b="1" i="0" u="none" strike="noStrike">
              <a:solidFill>
                <a:schemeClr val="dk1"/>
              </a:solidFill>
              <a:effectLst/>
              <a:latin typeface="+mj-ea"/>
              <a:ea typeface="+mj-ea"/>
              <a:cs typeface="+mn-cs"/>
            </a:rPr>
            <a:t>万円の算定対象は、基本給及び諸手当で判断します。ただ</a:t>
          </a:r>
        </a:p>
        <a:p>
          <a:pPr algn="l"/>
          <a:r>
            <a:rPr lang="ja-JP" altLang="en-US" sz="1100" b="1" i="0" u="none" strike="noStrike">
              <a:solidFill>
                <a:schemeClr val="dk1"/>
              </a:solidFill>
              <a:effectLst/>
              <a:latin typeface="+mj-ea"/>
              <a:ea typeface="+mj-ea"/>
              <a:cs typeface="+mn-cs"/>
            </a:rPr>
            <a:t>し、</a:t>
          </a:r>
          <a:r>
            <a:rPr lang="ja-JP" altLang="en-US" sz="1100" b="1" i="0" u="none" strike="noStrike">
              <a:solidFill>
                <a:srgbClr val="FF0000"/>
              </a:solidFill>
              <a:effectLst/>
              <a:latin typeface="+mj-ea"/>
              <a:ea typeface="+mj-ea"/>
              <a:cs typeface="+mn-cs"/>
            </a:rPr>
            <a:t>以下の①から④までの賃金は算入されません。</a:t>
          </a:r>
        </a:p>
        <a:p>
          <a:pPr algn="l"/>
          <a:r>
            <a:rPr lang="ja-JP" altLang="en-US" sz="1100" b="1" i="0" u="none" strike="noStrike">
              <a:solidFill>
                <a:schemeClr val="dk1"/>
              </a:solidFill>
              <a:effectLst/>
              <a:latin typeface="+mj-ea"/>
              <a:ea typeface="+mj-ea"/>
              <a:cs typeface="+mn-cs"/>
            </a:rPr>
            <a:t>① 臨時に支払われる賃金（結婚手当等）</a:t>
          </a:r>
        </a:p>
        <a:p>
          <a:pPr algn="l"/>
          <a:r>
            <a:rPr lang="ja-JP" altLang="en-US" sz="1100" b="1" i="0" u="none" strike="noStrike">
              <a:solidFill>
                <a:schemeClr val="dk1"/>
              </a:solidFill>
              <a:effectLst/>
              <a:latin typeface="+mj-ea"/>
              <a:ea typeface="+mj-ea"/>
              <a:cs typeface="+mn-cs"/>
            </a:rPr>
            <a:t>② １月を超える期間ごとに支払われる賃金（賞与等）</a:t>
          </a:r>
        </a:p>
        <a:p>
          <a:pPr algn="l"/>
          <a:r>
            <a:rPr lang="ja-JP" altLang="en-US" sz="1100" b="1" i="0" u="none" strike="noStrike">
              <a:solidFill>
                <a:schemeClr val="dk1"/>
              </a:solidFill>
              <a:effectLst/>
              <a:latin typeface="+mj-ea"/>
              <a:ea typeface="+mj-ea"/>
              <a:cs typeface="+mn-cs"/>
            </a:rPr>
            <a:t>③ 時間外労働に対して支払われる賃金、休日労働及び深夜労働に対して</a:t>
          </a:r>
        </a:p>
        <a:p>
          <a:pPr algn="l"/>
          <a:r>
            <a:rPr lang="ja-JP" altLang="en-US" sz="1100" b="1" i="0" u="none" strike="noStrike">
              <a:solidFill>
                <a:schemeClr val="dk1"/>
              </a:solidFill>
              <a:effectLst/>
              <a:latin typeface="+mj-ea"/>
              <a:ea typeface="+mj-ea"/>
              <a:cs typeface="+mn-cs"/>
            </a:rPr>
            <a:t>支払われる賃金（割増賃金等）</a:t>
          </a:r>
        </a:p>
        <a:p>
          <a:pPr algn="l"/>
          <a:r>
            <a:rPr lang="ja-JP" altLang="en-US" sz="1100" b="1" i="0" u="none" strike="noStrike">
              <a:solidFill>
                <a:schemeClr val="dk1"/>
              </a:solidFill>
              <a:effectLst/>
              <a:latin typeface="+mj-ea"/>
              <a:ea typeface="+mj-ea"/>
              <a:cs typeface="+mn-cs"/>
            </a:rPr>
            <a:t>④ 最低賃金において算入しないことを定める賃金（精皆勤手当、通勤手当</a:t>
          </a:r>
        </a:p>
        <a:p>
          <a:pPr algn="l"/>
          <a:r>
            <a:rPr lang="ja-JP" altLang="en-US" sz="1100" b="1" i="0" u="none" strike="noStrike">
              <a:solidFill>
                <a:schemeClr val="dk1"/>
              </a:solidFill>
              <a:effectLst/>
              <a:latin typeface="+mj-ea"/>
              <a:ea typeface="+mj-ea"/>
              <a:cs typeface="+mn-cs"/>
            </a:rPr>
            <a:t>及び家族手当）</a:t>
          </a:r>
        </a:p>
        <a:p>
          <a:pPr algn="l"/>
          <a:r>
            <a:rPr lang="ja-JP" altLang="en-US" sz="1100" b="1" i="0" u="none" strike="noStrike">
              <a:solidFill>
                <a:schemeClr val="dk1"/>
              </a:solidFill>
              <a:effectLst/>
              <a:latin typeface="+mj-ea"/>
              <a:ea typeface="+mj-ea"/>
              <a:cs typeface="+mn-cs"/>
            </a:rPr>
            <a:t>　なお、月額賃金が</a:t>
          </a:r>
          <a:r>
            <a:rPr lang="en-US" altLang="ja-JP" sz="1100" b="1" i="0" u="none" strike="noStrike">
              <a:solidFill>
                <a:schemeClr val="dk1"/>
              </a:solidFill>
              <a:effectLst/>
              <a:latin typeface="+mj-ea"/>
              <a:ea typeface="+mj-ea"/>
              <a:cs typeface="+mn-cs"/>
            </a:rPr>
            <a:t>8.8</a:t>
          </a:r>
          <a:r>
            <a:rPr lang="ja-JP" altLang="en-US" sz="1100" b="1" i="0" u="none" strike="noStrike">
              <a:solidFill>
                <a:schemeClr val="dk1"/>
              </a:solidFill>
              <a:effectLst/>
              <a:latin typeface="+mj-ea"/>
              <a:ea typeface="+mj-ea"/>
              <a:cs typeface="+mn-cs"/>
            </a:rPr>
            <a:t>万円以上であるかないかのみに基づき、要件を満たすか否</a:t>
          </a:r>
        </a:p>
        <a:p>
          <a:pPr algn="l"/>
          <a:r>
            <a:rPr lang="ja-JP" altLang="en-US" sz="1100" b="1" i="0" u="none" strike="noStrike">
              <a:solidFill>
                <a:schemeClr val="dk1"/>
              </a:solidFill>
              <a:effectLst/>
              <a:latin typeface="+mj-ea"/>
              <a:ea typeface="+mj-ea"/>
              <a:cs typeface="+mn-cs"/>
            </a:rPr>
            <a:t>かを判定します（年収</a:t>
          </a:r>
          <a:r>
            <a:rPr lang="en-US" altLang="ja-JP" sz="1100" b="1" i="0" u="none" strike="noStrike">
              <a:solidFill>
                <a:schemeClr val="dk1"/>
              </a:solidFill>
              <a:effectLst/>
              <a:latin typeface="+mj-ea"/>
              <a:ea typeface="+mj-ea"/>
              <a:cs typeface="+mn-cs"/>
            </a:rPr>
            <a:t>106</a:t>
          </a:r>
          <a:r>
            <a:rPr lang="ja-JP" altLang="en-US" sz="1100" b="1" i="0" u="none" strike="noStrike">
              <a:solidFill>
                <a:schemeClr val="dk1"/>
              </a:solidFill>
              <a:effectLst/>
              <a:latin typeface="+mj-ea"/>
              <a:ea typeface="+mj-ea"/>
              <a:cs typeface="+mn-cs"/>
            </a:rPr>
            <a:t>万円以上というのはあくまで参考の値です。）</a:t>
          </a:r>
        </a:p>
      </xdr:txBody>
    </xdr:sp>
    <xdr:clientData/>
  </xdr:twoCellAnchor>
  <xdr:twoCellAnchor>
    <xdr:from>
      <xdr:col>2</xdr:col>
      <xdr:colOff>0</xdr:colOff>
      <xdr:row>133</xdr:row>
      <xdr:rowOff>0</xdr:rowOff>
    </xdr:from>
    <xdr:to>
      <xdr:col>28</xdr:col>
      <xdr:colOff>141543</xdr:colOff>
      <xdr:row>152</xdr:row>
      <xdr:rowOff>85725</xdr:rowOff>
    </xdr:to>
    <xdr:grpSp>
      <xdr:nvGrpSpPr>
        <xdr:cNvPr id="63" name="グループ化 62">
          <a:extLst>
            <a:ext uri="{FF2B5EF4-FFF2-40B4-BE49-F238E27FC236}">
              <a16:creationId xmlns:a16="http://schemas.microsoft.com/office/drawing/2014/main" id="{7F1B17DA-1812-62E5-59A9-A2AB666164E8}"/>
            </a:ext>
          </a:extLst>
        </xdr:cNvPr>
        <xdr:cNvGrpSpPr/>
      </xdr:nvGrpSpPr>
      <xdr:grpSpPr>
        <a:xfrm>
          <a:off x="381000" y="36840583"/>
          <a:ext cx="18048543" cy="5313892"/>
          <a:chOff x="381000" y="35052000"/>
          <a:chExt cx="17991393" cy="5334000"/>
        </a:xfrm>
      </xdr:grpSpPr>
      <xdr:grpSp>
        <xdr:nvGrpSpPr>
          <xdr:cNvPr id="17" name="グループ化 16">
            <a:extLst>
              <a:ext uri="{FF2B5EF4-FFF2-40B4-BE49-F238E27FC236}">
                <a16:creationId xmlns:a16="http://schemas.microsoft.com/office/drawing/2014/main" id="{8E106F4F-8BF2-472F-2049-30F824CA0897}"/>
              </a:ext>
            </a:extLst>
          </xdr:cNvPr>
          <xdr:cNvGrpSpPr/>
        </xdr:nvGrpSpPr>
        <xdr:grpSpPr>
          <a:xfrm>
            <a:off x="381000" y="35052000"/>
            <a:ext cx="17991393" cy="5334000"/>
            <a:chOff x="381000" y="35052000"/>
            <a:chExt cx="17991393" cy="5334000"/>
          </a:xfrm>
        </xdr:grpSpPr>
        <xdr:pic>
          <xdr:nvPicPr>
            <xdr:cNvPr id="11" name="図 10">
              <a:extLst>
                <a:ext uri="{FF2B5EF4-FFF2-40B4-BE49-F238E27FC236}">
                  <a16:creationId xmlns:a16="http://schemas.microsoft.com/office/drawing/2014/main" id="{4AE0C42D-6415-4295-AE0B-F85B9DDD837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381000" y="35052000"/>
              <a:ext cx="17991393" cy="5334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 name="吹き出し: 折線 12">
              <a:extLst>
                <a:ext uri="{FF2B5EF4-FFF2-40B4-BE49-F238E27FC236}">
                  <a16:creationId xmlns:a16="http://schemas.microsoft.com/office/drawing/2014/main" id="{39069D00-EBF4-408F-AD45-F369716B763C}"/>
                </a:ext>
              </a:extLst>
            </xdr:cNvPr>
            <xdr:cNvSpPr/>
          </xdr:nvSpPr>
          <xdr:spPr>
            <a:xfrm>
              <a:off x="3495675" y="35156775"/>
              <a:ext cx="1354617" cy="718852"/>
            </a:xfrm>
            <a:prstGeom prst="borderCallout2">
              <a:avLst>
                <a:gd name="adj1" fmla="val 40791"/>
                <a:gd name="adj2" fmla="val -1190"/>
                <a:gd name="adj3" fmla="val 41861"/>
                <a:gd name="adj4" fmla="val -7605"/>
                <a:gd name="adj5" fmla="val 92675"/>
                <a:gd name="adj6" fmla="val -34347"/>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0000FF"/>
                  </a:solidFill>
                  <a:effectLst/>
                  <a:latin typeface="+mn-lt"/>
                  <a:ea typeface="+mn-ea"/>
                  <a:cs typeface="+mn-cs"/>
                </a:rPr>
                <a:t>★</a:t>
              </a:r>
              <a:r>
                <a:rPr kumimoji="1" lang="ja-JP" altLang="ja-JP" sz="1200" b="1">
                  <a:solidFill>
                    <a:srgbClr val="0000FF"/>
                  </a:solidFill>
                  <a:effectLst/>
                  <a:latin typeface="+mn-lt"/>
                  <a:ea typeface="+mn-ea"/>
                  <a:cs typeface="+mn-cs"/>
                </a:rPr>
                <a:t> </a:t>
              </a:r>
              <a:r>
                <a:rPr kumimoji="1" lang="ja-JP" altLang="en-US" sz="1200" b="1">
                  <a:solidFill>
                    <a:srgbClr val="0000FF"/>
                  </a:solidFill>
                  <a:effectLst/>
                  <a:latin typeface="+mn-lt"/>
                  <a:ea typeface="+mn-ea"/>
                  <a:cs typeface="+mn-cs"/>
                </a:rPr>
                <a:t>対象者の従業員コード番号を入力します！</a:t>
              </a:r>
              <a:endParaRPr kumimoji="1" lang="ja-JP" altLang="en-US" sz="1200" b="1">
                <a:solidFill>
                  <a:srgbClr val="0000FF"/>
                </a:solidFill>
              </a:endParaRPr>
            </a:p>
          </xdr:txBody>
        </xdr:sp>
      </xdr:grpSp>
      <xdr:sp macro="" textlink="">
        <xdr:nvSpPr>
          <xdr:cNvPr id="60" name="楕円 59">
            <a:extLst>
              <a:ext uri="{FF2B5EF4-FFF2-40B4-BE49-F238E27FC236}">
                <a16:creationId xmlns:a16="http://schemas.microsoft.com/office/drawing/2014/main" id="{3DD9D613-B39A-45CC-7805-F8C79FC5BF32}"/>
              </a:ext>
            </a:extLst>
          </xdr:cNvPr>
          <xdr:cNvSpPr/>
        </xdr:nvSpPr>
        <xdr:spPr>
          <a:xfrm rot="3340558">
            <a:off x="2962274" y="37147499"/>
            <a:ext cx="2581275" cy="310515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1" name="吹き出し: 折線 60">
            <a:extLst>
              <a:ext uri="{FF2B5EF4-FFF2-40B4-BE49-F238E27FC236}">
                <a16:creationId xmlns:a16="http://schemas.microsoft.com/office/drawing/2014/main" id="{4AF6CAE9-B075-496C-8CEE-ED5C8B267D6A}"/>
              </a:ext>
            </a:extLst>
          </xdr:cNvPr>
          <xdr:cNvSpPr/>
        </xdr:nvSpPr>
        <xdr:spPr>
          <a:xfrm>
            <a:off x="2809875" y="37671375"/>
            <a:ext cx="1485900" cy="718852"/>
          </a:xfrm>
          <a:prstGeom prst="borderCallout2">
            <a:avLst>
              <a:gd name="adj1" fmla="val 104392"/>
              <a:gd name="adj2" fmla="val 68295"/>
              <a:gd name="adj3" fmla="val 118713"/>
              <a:gd name="adj4" fmla="val 52902"/>
              <a:gd name="adj5" fmla="val 150977"/>
              <a:gd name="adj6" fmla="val 35236"/>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0000FF"/>
                </a:solidFill>
                <a:effectLst/>
                <a:latin typeface="+mn-lt"/>
                <a:ea typeface="+mn-ea"/>
                <a:cs typeface="+mn-cs"/>
              </a:rPr>
              <a:t>★</a:t>
            </a:r>
            <a:r>
              <a:rPr kumimoji="1" lang="ja-JP" altLang="ja-JP" sz="1200" b="1">
                <a:solidFill>
                  <a:srgbClr val="0000FF"/>
                </a:solidFill>
                <a:effectLst/>
                <a:latin typeface="+mn-lt"/>
                <a:ea typeface="+mn-ea"/>
                <a:cs typeface="+mn-cs"/>
              </a:rPr>
              <a:t> </a:t>
            </a:r>
            <a:r>
              <a:rPr kumimoji="1" lang="ja-JP" altLang="en-US" sz="1200" b="1">
                <a:solidFill>
                  <a:srgbClr val="0000FF"/>
                </a:solidFill>
                <a:effectLst/>
                <a:latin typeface="+mn-lt"/>
                <a:ea typeface="+mn-ea"/>
                <a:cs typeface="+mn-cs"/>
              </a:rPr>
              <a:t>社会保険促進手当＝標準報酬額</a:t>
            </a:r>
            <a:r>
              <a:rPr kumimoji="1" lang="en-US" altLang="ja-JP" sz="1200" b="1">
                <a:solidFill>
                  <a:srgbClr val="0000FF"/>
                </a:solidFill>
                <a:effectLst/>
                <a:latin typeface="+mn-lt"/>
                <a:ea typeface="+mn-ea"/>
                <a:cs typeface="+mn-cs"/>
              </a:rPr>
              <a:t>×15.0</a:t>
            </a:r>
            <a:r>
              <a:rPr kumimoji="1" lang="ja-JP" altLang="en-US" sz="1200" b="1">
                <a:solidFill>
                  <a:srgbClr val="0000FF"/>
                </a:solidFill>
                <a:effectLst/>
                <a:latin typeface="+mn-lt"/>
                <a:ea typeface="+mn-ea"/>
                <a:cs typeface="+mn-cs"/>
              </a:rPr>
              <a:t>％</a:t>
            </a:r>
            <a:endParaRPr kumimoji="1" lang="ja-JP" altLang="en-US" sz="1200" b="1">
              <a:solidFill>
                <a:srgbClr val="0000FF"/>
              </a:solidFill>
            </a:endParaRPr>
          </a:p>
        </xdr:txBody>
      </xdr:sp>
    </xdr:grpSp>
    <xdr:clientData/>
  </xdr:twoCellAnchor>
  <xdr:twoCellAnchor>
    <xdr:from>
      <xdr:col>21</xdr:col>
      <xdr:colOff>514350</xdr:colOff>
      <xdr:row>1</xdr:row>
      <xdr:rowOff>47625</xdr:rowOff>
    </xdr:from>
    <xdr:to>
      <xdr:col>29</xdr:col>
      <xdr:colOff>190500</xdr:colOff>
      <xdr:row>21</xdr:row>
      <xdr:rowOff>190499</xdr:rowOff>
    </xdr:to>
    <xdr:grpSp>
      <xdr:nvGrpSpPr>
        <xdr:cNvPr id="77" name="グループ化 76">
          <a:extLst>
            <a:ext uri="{FF2B5EF4-FFF2-40B4-BE49-F238E27FC236}">
              <a16:creationId xmlns:a16="http://schemas.microsoft.com/office/drawing/2014/main" id="{18F60E4F-8E1B-9804-82C3-387D12627114}"/>
            </a:ext>
          </a:extLst>
        </xdr:cNvPr>
        <xdr:cNvGrpSpPr/>
      </xdr:nvGrpSpPr>
      <xdr:grpSpPr>
        <a:xfrm>
          <a:off x="13986933" y="216958"/>
          <a:ext cx="5179484" cy="6185958"/>
          <a:chOff x="13944600" y="219075"/>
          <a:chExt cx="5162550" cy="6181724"/>
        </a:xfrm>
      </xdr:grpSpPr>
      <xdr:grpSp>
        <xdr:nvGrpSpPr>
          <xdr:cNvPr id="4136" name="グループ化 4135">
            <a:extLst>
              <a:ext uri="{FF2B5EF4-FFF2-40B4-BE49-F238E27FC236}">
                <a16:creationId xmlns:a16="http://schemas.microsoft.com/office/drawing/2014/main" id="{1D06BACF-9E55-47A4-B619-CF94665F5C63}"/>
              </a:ext>
            </a:extLst>
          </xdr:cNvPr>
          <xdr:cNvGrpSpPr/>
        </xdr:nvGrpSpPr>
        <xdr:grpSpPr>
          <a:xfrm>
            <a:off x="13973175" y="219075"/>
            <a:ext cx="5124450" cy="5362376"/>
            <a:chOff x="6000750" y="13839825"/>
            <a:chExt cx="5124450" cy="5362376"/>
          </a:xfrm>
        </xdr:grpSpPr>
        <xdr:grpSp>
          <xdr:nvGrpSpPr>
            <xdr:cNvPr id="4137" name="グループ化 4136">
              <a:extLst>
                <a:ext uri="{FF2B5EF4-FFF2-40B4-BE49-F238E27FC236}">
                  <a16:creationId xmlns:a16="http://schemas.microsoft.com/office/drawing/2014/main" id="{10ADC5DB-CF80-D486-C353-44590B3853C2}"/>
                </a:ext>
              </a:extLst>
            </xdr:cNvPr>
            <xdr:cNvGrpSpPr/>
          </xdr:nvGrpSpPr>
          <xdr:grpSpPr>
            <a:xfrm>
              <a:off x="6000750" y="18420751"/>
              <a:ext cx="5114925" cy="781450"/>
              <a:chOff x="6000750" y="18420751"/>
              <a:chExt cx="5114925" cy="781450"/>
            </a:xfrm>
          </xdr:grpSpPr>
          <xdr:pic>
            <xdr:nvPicPr>
              <xdr:cNvPr id="4159" name="図 4158">
                <a:extLst>
                  <a:ext uri="{FF2B5EF4-FFF2-40B4-BE49-F238E27FC236}">
                    <a16:creationId xmlns:a16="http://schemas.microsoft.com/office/drawing/2014/main" id="{7835CD2C-B819-48F5-55C0-B71D2CA85EE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7353289" y="18485550"/>
                <a:ext cx="1371611" cy="59641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4" name="図 63">
                <a:extLst>
                  <a:ext uri="{FF2B5EF4-FFF2-40B4-BE49-F238E27FC236}">
                    <a16:creationId xmlns:a16="http://schemas.microsoft.com/office/drawing/2014/main" id="{9200288E-CA13-14C4-4CAC-CE861503EE13}"/>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762719" y="18461014"/>
                <a:ext cx="1162331" cy="56061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0" name="図 69">
                <a:extLst>
                  <a:ext uri="{FF2B5EF4-FFF2-40B4-BE49-F238E27FC236}">
                    <a16:creationId xmlns:a16="http://schemas.microsoft.com/office/drawing/2014/main" id="{B884BDCF-8E22-56D4-D56A-18D043FDB74B}"/>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9982468" y="18420751"/>
                <a:ext cx="1133207" cy="7814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1" name="図 70">
                <a:extLst>
                  <a:ext uri="{FF2B5EF4-FFF2-40B4-BE49-F238E27FC236}">
                    <a16:creationId xmlns:a16="http://schemas.microsoft.com/office/drawing/2014/main" id="{9F67F341-BE26-D890-2246-4717550394DD}"/>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6000750" y="18446680"/>
                <a:ext cx="1343025" cy="668237"/>
              </a:xfrm>
              <a:prstGeom prst="rect">
                <a:avLst/>
              </a:prstGeom>
              <a:noFill/>
              <a:extLst>
                <a:ext uri="{909E8E84-426E-40DD-AFC4-6F175D3DCCD1}">
                  <a14:hiddenFill xmlns:a14="http://schemas.microsoft.com/office/drawing/2010/main">
                    <a:solidFill>
                      <a:srgbClr val="FFFFFF"/>
                    </a:solidFill>
                  </a14:hiddenFill>
                </a:ext>
              </a:extLst>
            </xdr:spPr>
          </xdr:pic>
        </xdr:grpSp>
        <xdr:pic>
          <xdr:nvPicPr>
            <xdr:cNvPr id="4138" name="図 4137">
              <a:extLst>
                <a:ext uri="{FF2B5EF4-FFF2-40B4-BE49-F238E27FC236}">
                  <a16:creationId xmlns:a16="http://schemas.microsoft.com/office/drawing/2014/main" id="{B91F3B34-65FA-CD4B-A0AE-CA19B53D7BE4}"/>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6019800" y="13839825"/>
              <a:ext cx="5105400" cy="4629150"/>
            </a:xfrm>
            <a:prstGeom prst="rect">
              <a:avLst/>
            </a:prstGeom>
            <a:noFill/>
            <a:extLst>
              <a:ext uri="{909E8E84-426E-40DD-AFC4-6F175D3DCCD1}">
                <a14:hiddenFill xmlns:a14="http://schemas.microsoft.com/office/drawing/2010/main">
                  <a:solidFill>
                    <a:srgbClr val="FFFFFF"/>
                  </a:solidFill>
                </a14:hiddenFill>
              </a:ext>
            </a:extLst>
          </xdr:spPr>
        </xdr:pic>
      </xdr:grpSp>
      <xdr:pic>
        <xdr:nvPicPr>
          <xdr:cNvPr id="76" name="図 75">
            <a:extLst>
              <a:ext uri="{FF2B5EF4-FFF2-40B4-BE49-F238E27FC236}">
                <a16:creationId xmlns:a16="http://schemas.microsoft.com/office/drawing/2014/main" id="{3538DBA4-8868-444F-B838-6FB27A611E25}"/>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3944600" y="5477082"/>
            <a:ext cx="5162550" cy="92371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73" name="楕円 72">
            <a:extLst>
              <a:ext uri="{FF2B5EF4-FFF2-40B4-BE49-F238E27FC236}">
                <a16:creationId xmlns:a16="http://schemas.microsoft.com/office/drawing/2014/main" id="{0DFEF697-6CDE-5798-160E-26CE48820C80}"/>
              </a:ext>
            </a:extLst>
          </xdr:cNvPr>
          <xdr:cNvSpPr/>
        </xdr:nvSpPr>
        <xdr:spPr>
          <a:xfrm>
            <a:off x="16563975" y="4638675"/>
            <a:ext cx="1466850" cy="847725"/>
          </a:xfrm>
          <a:prstGeom prst="ellipse">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3</xdr:col>
      <xdr:colOff>161925</xdr:colOff>
      <xdr:row>109</xdr:row>
      <xdr:rowOff>78969</xdr:rowOff>
    </xdr:from>
    <xdr:to>
      <xdr:col>21</xdr:col>
      <xdr:colOff>552450</xdr:colOff>
      <xdr:row>128</xdr:row>
      <xdr:rowOff>266700</xdr:rowOff>
    </xdr:to>
    <xdr:pic>
      <xdr:nvPicPr>
        <xdr:cNvPr id="16" name="図 15">
          <a:extLst>
            <a:ext uri="{FF2B5EF4-FFF2-40B4-BE49-F238E27FC236}">
              <a16:creationId xmlns:a16="http://schemas.microsoft.com/office/drawing/2014/main" id="{8DCEE96A-EDF9-B973-3DAA-DAD651BB3EB4}"/>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057275" y="31635294"/>
          <a:ext cx="12925425" cy="5436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419100</xdr:colOff>
      <xdr:row>36</xdr:row>
      <xdr:rowOff>28575</xdr:rowOff>
    </xdr:from>
    <xdr:to>
      <xdr:col>21</xdr:col>
      <xdr:colOff>47625</xdr:colOff>
      <xdr:row>37</xdr:row>
      <xdr:rowOff>133350</xdr:rowOff>
    </xdr:to>
    <xdr:sp macro="" textlink="">
      <xdr:nvSpPr>
        <xdr:cNvPr id="9" name="テキスト ボックス 8">
          <a:extLst>
            <a:ext uri="{FF2B5EF4-FFF2-40B4-BE49-F238E27FC236}">
              <a16:creationId xmlns:a16="http://schemas.microsoft.com/office/drawing/2014/main" id="{36A5382B-3E01-4916-A9DC-8D0DD3795C0F}"/>
            </a:ext>
          </a:extLst>
        </xdr:cNvPr>
        <xdr:cNvSpPr txBox="1"/>
      </xdr:nvSpPr>
      <xdr:spPr>
        <a:xfrm>
          <a:off x="8362950" y="9382125"/>
          <a:ext cx="5114925" cy="390525"/>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600" b="1">
              <a:solidFill>
                <a:srgbClr val="0000FF"/>
              </a:solidFill>
            </a:rPr>
            <a:t>◇このソフトでの算出データは目安としてご利用下さい。</a:t>
          </a:r>
        </a:p>
      </xdr:txBody>
    </xdr:sp>
    <xdr:clientData/>
  </xdr:twoCellAnchor>
  <xdr:twoCellAnchor>
    <xdr:from>
      <xdr:col>8</xdr:col>
      <xdr:colOff>616843</xdr:colOff>
      <xdr:row>153</xdr:row>
      <xdr:rowOff>104272</xdr:rowOff>
    </xdr:from>
    <xdr:to>
      <xdr:col>25</xdr:col>
      <xdr:colOff>217560</xdr:colOff>
      <xdr:row>160</xdr:row>
      <xdr:rowOff>104776</xdr:rowOff>
    </xdr:to>
    <xdr:grpSp>
      <xdr:nvGrpSpPr>
        <xdr:cNvPr id="41" name="グループ化 40">
          <a:extLst>
            <a:ext uri="{FF2B5EF4-FFF2-40B4-BE49-F238E27FC236}">
              <a16:creationId xmlns:a16="http://schemas.microsoft.com/office/drawing/2014/main" id="{9CD929D7-831D-4B71-A31F-36712E8D4190}"/>
            </a:ext>
          </a:extLst>
        </xdr:cNvPr>
        <xdr:cNvGrpSpPr/>
      </xdr:nvGrpSpPr>
      <xdr:grpSpPr>
        <a:xfrm>
          <a:off x="4956010" y="42448189"/>
          <a:ext cx="11485800" cy="1926670"/>
          <a:chOff x="4941193" y="43538272"/>
          <a:chExt cx="11449817" cy="1934079"/>
        </a:xfrm>
      </xdr:grpSpPr>
      <xdr:sp macro="" textlink="">
        <xdr:nvSpPr>
          <xdr:cNvPr id="29" name="矢印: 右 28">
            <a:extLst>
              <a:ext uri="{FF2B5EF4-FFF2-40B4-BE49-F238E27FC236}">
                <a16:creationId xmlns:a16="http://schemas.microsoft.com/office/drawing/2014/main" id="{A049B4A0-979B-E0F8-B3B3-B4C6C51D629B}"/>
              </a:ext>
            </a:extLst>
          </xdr:cNvPr>
          <xdr:cNvSpPr/>
        </xdr:nvSpPr>
        <xdr:spPr>
          <a:xfrm rot="20882003">
            <a:off x="11424648" y="43823869"/>
            <a:ext cx="4966362" cy="108000"/>
          </a:xfrm>
          <a:prstGeom prst="rightArrow">
            <a:avLst/>
          </a:prstGeom>
          <a:solidFill>
            <a:srgbClr val="0000CC"/>
          </a:solidFill>
          <a:ln>
            <a:solidFill>
              <a:srgbClr val="0000C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7" name="矢印: 右 36">
            <a:extLst>
              <a:ext uri="{FF2B5EF4-FFF2-40B4-BE49-F238E27FC236}">
                <a16:creationId xmlns:a16="http://schemas.microsoft.com/office/drawing/2014/main" id="{73003A0A-5F4A-4C39-B256-1E46FE169231}"/>
              </a:ext>
            </a:extLst>
          </xdr:cNvPr>
          <xdr:cNvSpPr/>
        </xdr:nvSpPr>
        <xdr:spPr>
          <a:xfrm rot="423835" flipH="1">
            <a:off x="4941193" y="43538272"/>
            <a:ext cx="3871174" cy="108000"/>
          </a:xfrm>
          <a:prstGeom prst="rightArrow">
            <a:avLst/>
          </a:prstGeom>
          <a:solidFill>
            <a:srgbClr val="0000CC"/>
          </a:solidFill>
          <a:ln>
            <a:solidFill>
              <a:srgbClr val="0000C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正方形/長方形 11">
            <a:extLst>
              <a:ext uri="{FF2B5EF4-FFF2-40B4-BE49-F238E27FC236}">
                <a16:creationId xmlns:a16="http://schemas.microsoft.com/office/drawing/2014/main" id="{4616DAEF-6135-3A82-D593-0D5C69AEA183}"/>
              </a:ext>
            </a:extLst>
          </xdr:cNvPr>
          <xdr:cNvSpPr/>
        </xdr:nvSpPr>
        <xdr:spPr>
          <a:xfrm>
            <a:off x="8743950" y="43586401"/>
            <a:ext cx="2714625" cy="1885950"/>
          </a:xfrm>
          <a:prstGeom prst="rect">
            <a:avLst/>
          </a:prstGeom>
          <a:solidFill>
            <a:schemeClr val="bg1"/>
          </a:solidFill>
          <a:ln>
            <a:solidFill>
              <a:srgbClr val="0000CC"/>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600" b="1" u="sng">
                <a:solidFill>
                  <a:srgbClr val="FF0000"/>
                </a:solidFill>
              </a:rPr>
              <a:t>チェック！</a:t>
            </a:r>
            <a:endParaRPr kumimoji="1" lang="en-US" altLang="ja-JP" sz="1600" b="1" u="sng">
              <a:solidFill>
                <a:srgbClr val="FF0000"/>
              </a:solidFill>
            </a:endParaRPr>
          </a:p>
          <a:p>
            <a:pPr algn="l"/>
            <a:r>
              <a:rPr kumimoji="1" lang="ja-JP" altLang="en-US" sz="1600" b="1">
                <a:solidFill>
                  <a:srgbClr val="0000CC"/>
                </a:solidFill>
              </a:rPr>
              <a:t>社会保険適用促進手当</a:t>
            </a:r>
            <a:endParaRPr kumimoji="1" lang="en-US" altLang="ja-JP" sz="1600" b="1">
              <a:solidFill>
                <a:srgbClr val="0000CC"/>
              </a:solidFill>
            </a:endParaRPr>
          </a:p>
          <a:p>
            <a:pPr algn="l"/>
            <a:r>
              <a:rPr kumimoji="1" lang="ja-JP" altLang="en-US" sz="1600" b="1">
                <a:solidFill>
                  <a:srgbClr val="0000CC"/>
                </a:solidFill>
              </a:rPr>
              <a:t>　≧ 標準報酬月額</a:t>
            </a:r>
            <a:r>
              <a:rPr kumimoji="1" lang="en-US" altLang="ja-JP" sz="1600" b="1">
                <a:solidFill>
                  <a:srgbClr val="0000CC"/>
                </a:solidFill>
              </a:rPr>
              <a:t>×15.0</a:t>
            </a:r>
            <a:r>
              <a:rPr kumimoji="1" lang="ja-JP" altLang="en-US" sz="1600" b="1">
                <a:solidFill>
                  <a:srgbClr val="0000CC"/>
                </a:solidFill>
              </a:rPr>
              <a:t>％</a:t>
            </a:r>
            <a:endParaRPr kumimoji="1" lang="en-US" altLang="ja-JP" sz="1600" b="1">
              <a:solidFill>
                <a:srgbClr val="0000CC"/>
              </a:solidFill>
            </a:endParaRPr>
          </a:p>
          <a:p>
            <a:pPr algn="l"/>
            <a:r>
              <a:rPr kumimoji="1" lang="en-US" altLang="ja-JP" sz="1400" b="1">
                <a:solidFill>
                  <a:schemeClr val="tx1"/>
                </a:solidFill>
              </a:rPr>
              <a:t>※ </a:t>
            </a:r>
            <a:r>
              <a:rPr kumimoji="1" lang="ja-JP" altLang="en-US" sz="1400" b="1">
                <a:solidFill>
                  <a:schemeClr val="tx1"/>
                </a:solidFill>
              </a:rPr>
              <a:t>社会保険適用促進手当は、</a:t>
            </a:r>
            <a:endParaRPr kumimoji="1" lang="en-US" altLang="ja-JP" sz="1400" b="1">
              <a:solidFill>
                <a:schemeClr val="tx1"/>
              </a:solidFill>
            </a:endParaRPr>
          </a:p>
          <a:p>
            <a:pPr algn="l"/>
            <a:r>
              <a:rPr kumimoji="1" lang="ja-JP" altLang="en-US" sz="1400" b="1">
                <a:solidFill>
                  <a:schemeClr val="tx1"/>
                </a:solidFill>
              </a:rPr>
              <a:t>　標準報酬月額が</a:t>
            </a:r>
            <a:r>
              <a:rPr kumimoji="1" lang="en-US" altLang="ja-JP" sz="1400" b="1">
                <a:solidFill>
                  <a:schemeClr val="tx1"/>
                </a:solidFill>
              </a:rPr>
              <a:t>104</a:t>
            </a:r>
            <a:r>
              <a:rPr kumimoji="1" lang="ja-JP" altLang="en-US" sz="1400" b="1">
                <a:solidFill>
                  <a:schemeClr val="tx1"/>
                </a:solidFill>
              </a:rPr>
              <a:t>，</a:t>
            </a:r>
            <a:r>
              <a:rPr kumimoji="1" lang="en-US" altLang="ja-JP" sz="1400" b="1">
                <a:solidFill>
                  <a:schemeClr val="tx1"/>
                </a:solidFill>
              </a:rPr>
              <a:t>000</a:t>
            </a:r>
            <a:r>
              <a:rPr kumimoji="1" lang="ja-JP" altLang="en-US" sz="1400" b="1">
                <a:solidFill>
                  <a:schemeClr val="tx1"/>
                </a:solidFill>
              </a:rPr>
              <a:t>円までは社会保険の計算から除外、超えると算入されることに注意！</a:t>
            </a:r>
            <a:endParaRPr kumimoji="1" lang="en-US" altLang="ja-JP" sz="1400" b="1">
              <a:solidFill>
                <a:schemeClr val="tx1"/>
              </a:solidFill>
            </a:endParaRPr>
          </a:p>
          <a:p>
            <a:pPr algn="l"/>
            <a:endParaRPr kumimoji="1" lang="ja-JP" altLang="en-US" sz="1600" b="1">
              <a:solidFill>
                <a:srgbClr val="0000CC"/>
              </a:solidFill>
            </a:endParaRPr>
          </a:p>
        </xdr:txBody>
      </xdr:sp>
    </xdr:grpSp>
    <xdr:clientData/>
  </xdr:twoCellAnchor>
  <xdr:twoCellAnchor editAs="oneCell">
    <xdr:from>
      <xdr:col>19</xdr:col>
      <xdr:colOff>457200</xdr:colOff>
      <xdr:row>29</xdr:row>
      <xdr:rowOff>276225</xdr:rowOff>
    </xdr:from>
    <xdr:to>
      <xdr:col>25</xdr:col>
      <xdr:colOff>667385</xdr:colOff>
      <xdr:row>33</xdr:row>
      <xdr:rowOff>66675</xdr:rowOff>
    </xdr:to>
    <xdr:pic>
      <xdr:nvPicPr>
        <xdr:cNvPr id="30" name="図 29">
          <a:extLst>
            <a:ext uri="{FF2B5EF4-FFF2-40B4-BE49-F238E27FC236}">
              <a16:creationId xmlns:a16="http://schemas.microsoft.com/office/drawing/2014/main" id="{A968C08F-49BA-CF25-8023-6038DFD4EFCE}"/>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2515850" y="8772525"/>
          <a:ext cx="4324985" cy="933450"/>
        </a:xfrm>
        <a:prstGeom prst="rect">
          <a:avLst/>
        </a:prstGeom>
        <a:noFill/>
        <a:ln>
          <a:noFill/>
        </a:ln>
      </xdr:spPr>
    </xdr:pic>
    <xdr:clientData/>
  </xdr:twoCellAnchor>
  <xdr:twoCellAnchor>
    <xdr:from>
      <xdr:col>2</xdr:col>
      <xdr:colOff>76200</xdr:colOff>
      <xdr:row>158</xdr:row>
      <xdr:rowOff>95250</xdr:rowOff>
    </xdr:from>
    <xdr:to>
      <xdr:col>28</xdr:col>
      <xdr:colOff>180966</xdr:colOff>
      <xdr:row>180</xdr:row>
      <xdr:rowOff>209549</xdr:rowOff>
    </xdr:to>
    <xdr:grpSp>
      <xdr:nvGrpSpPr>
        <xdr:cNvPr id="42" name="グループ化 41">
          <a:extLst>
            <a:ext uri="{FF2B5EF4-FFF2-40B4-BE49-F238E27FC236}">
              <a16:creationId xmlns:a16="http://schemas.microsoft.com/office/drawing/2014/main" id="{D7A6927E-D472-7371-5332-D09962770AE1}"/>
            </a:ext>
          </a:extLst>
        </xdr:cNvPr>
        <xdr:cNvGrpSpPr/>
      </xdr:nvGrpSpPr>
      <xdr:grpSpPr>
        <a:xfrm>
          <a:off x="457200" y="43815000"/>
          <a:ext cx="18011766" cy="6167966"/>
          <a:chOff x="457200" y="43959946"/>
          <a:chExt cx="17995201" cy="6127473"/>
        </a:xfrm>
      </xdr:grpSpPr>
      <xdr:pic>
        <xdr:nvPicPr>
          <xdr:cNvPr id="28" name="図 27">
            <a:extLst>
              <a:ext uri="{FF2B5EF4-FFF2-40B4-BE49-F238E27FC236}">
                <a16:creationId xmlns:a16="http://schemas.microsoft.com/office/drawing/2014/main" id="{EA669A46-221F-F1D6-5032-C8AC72D2C642}"/>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457200" y="43959946"/>
            <a:ext cx="16685429" cy="6127473"/>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34" name="グループ化 33">
            <a:extLst>
              <a:ext uri="{FF2B5EF4-FFF2-40B4-BE49-F238E27FC236}">
                <a16:creationId xmlns:a16="http://schemas.microsoft.com/office/drawing/2014/main" id="{19EEBC57-5D1D-866E-E8F4-B56FDEEC2278}"/>
              </a:ext>
            </a:extLst>
          </xdr:cNvPr>
          <xdr:cNvGrpSpPr/>
        </xdr:nvGrpSpPr>
        <xdr:grpSpPr>
          <a:xfrm>
            <a:off x="17166906" y="46769419"/>
            <a:ext cx="1285495" cy="988517"/>
            <a:chOff x="14752357" y="5094203"/>
            <a:chExt cx="1002005" cy="667946"/>
          </a:xfrm>
        </xdr:grpSpPr>
        <xdr:sp macro="" textlink="">
          <xdr:nvSpPr>
            <xdr:cNvPr id="38" name="正方形/長方形 37">
              <a:extLst>
                <a:ext uri="{FF2B5EF4-FFF2-40B4-BE49-F238E27FC236}">
                  <a16:creationId xmlns:a16="http://schemas.microsoft.com/office/drawing/2014/main" id="{BA3D1605-2E34-39D5-96BD-06F170668303}"/>
                </a:ext>
              </a:extLst>
            </xdr:cNvPr>
            <xdr:cNvSpPr/>
          </xdr:nvSpPr>
          <xdr:spPr>
            <a:xfrm>
              <a:off x="14890905" y="5094203"/>
              <a:ext cx="863457" cy="667946"/>
            </a:xfrm>
            <a:prstGeom prst="rect">
              <a:avLst/>
            </a:prstGeom>
            <a:ln>
              <a:solidFill>
                <a:srgbClr val="FFC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200" b="1">
                  <a:solidFill>
                    <a:srgbClr val="FF0000"/>
                  </a:solidFill>
                </a:rPr>
                <a:t>指標は、個別に移動して提案して下さい！）</a:t>
              </a:r>
            </a:p>
          </xdr:txBody>
        </xdr:sp>
        <xdr:sp macro="" textlink="">
          <xdr:nvSpPr>
            <xdr:cNvPr id="39" name="矢印: 左 38">
              <a:extLst>
                <a:ext uri="{FF2B5EF4-FFF2-40B4-BE49-F238E27FC236}">
                  <a16:creationId xmlns:a16="http://schemas.microsoft.com/office/drawing/2014/main" id="{BA9B3ACA-E2AD-581D-3726-00B0947C125F}"/>
                </a:ext>
              </a:extLst>
            </xdr:cNvPr>
            <xdr:cNvSpPr/>
          </xdr:nvSpPr>
          <xdr:spPr>
            <a:xfrm>
              <a:off x="14752357" y="5324274"/>
              <a:ext cx="138545" cy="207817"/>
            </a:xfrm>
            <a:prstGeom prst="leftArrow">
              <a:avLst/>
            </a:prstGeom>
            <a:solidFill>
              <a:srgbClr val="FFFF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twoCellAnchor>
    <xdr:from>
      <xdr:col>9</xdr:col>
      <xdr:colOff>24848</xdr:colOff>
      <xdr:row>30</xdr:row>
      <xdr:rowOff>91109</xdr:rowOff>
    </xdr:from>
    <xdr:to>
      <xdr:col>17</xdr:col>
      <xdr:colOff>630721</xdr:colOff>
      <xdr:row>32</xdr:row>
      <xdr:rowOff>231327</xdr:rowOff>
    </xdr:to>
    <xdr:sp macro="" textlink="">
      <xdr:nvSpPr>
        <xdr:cNvPr id="27" name="四角形: 角を丸くする 26">
          <a:extLst>
            <a:ext uri="{FF2B5EF4-FFF2-40B4-BE49-F238E27FC236}">
              <a16:creationId xmlns:a16="http://schemas.microsoft.com/office/drawing/2014/main" id="{8684859F-0C5F-4541-B55B-37D9BA4177FD}"/>
            </a:ext>
          </a:extLst>
        </xdr:cNvPr>
        <xdr:cNvSpPr/>
      </xdr:nvSpPr>
      <xdr:spPr>
        <a:xfrm>
          <a:off x="5044109" y="8970066"/>
          <a:ext cx="6296025" cy="720000"/>
        </a:xfrm>
        <a:prstGeom prst="roundRect">
          <a:avLst/>
        </a:prstGeom>
        <a:solidFill>
          <a:srgbClr val="00B050"/>
        </a:solidFill>
        <a:ln>
          <a:solidFill>
            <a:schemeClr val="accent3">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288000" rtlCol="0" anchor="ctr" anchorCtr="0"/>
        <a:lstStyle/>
        <a:p>
          <a:pPr algn="l">
            <a:lnSpc>
              <a:spcPts val="1800"/>
            </a:lnSpc>
          </a:pPr>
          <a:r>
            <a:rPr kumimoji="1" lang="ja-JP" altLang="en-US" sz="1800" b="1"/>
            <a:t>社会保険加入者１０１人以上企業（１０６万円の壁）で活用！</a:t>
          </a:r>
          <a:endParaRPr kumimoji="1" lang="en-US" altLang="ja-JP" sz="1800" b="1"/>
        </a:p>
        <a:p>
          <a:pPr algn="l">
            <a:lnSpc>
              <a:spcPts val="1800"/>
            </a:lnSpc>
          </a:pPr>
          <a:r>
            <a:rPr kumimoji="1" lang="ja-JP" altLang="en-US" sz="1400" b="1"/>
            <a:t>　　　（２０２５．１０．１から上記は、社会保険加入者５１人以上企業に変更）</a:t>
          </a:r>
          <a:endParaRPr kumimoji="1" lang="en-US" altLang="ja-JP" sz="1400" b="1"/>
        </a:p>
      </xdr:txBody>
    </xdr:sp>
    <xdr:clientData/>
  </xdr:twoCellAnchor>
  <xdr:twoCellAnchor>
    <xdr:from>
      <xdr:col>2</xdr:col>
      <xdr:colOff>295275</xdr:colOff>
      <xdr:row>211</xdr:row>
      <xdr:rowOff>104775</xdr:rowOff>
    </xdr:from>
    <xdr:to>
      <xdr:col>25</xdr:col>
      <xdr:colOff>281262</xdr:colOff>
      <xdr:row>233</xdr:row>
      <xdr:rowOff>142875</xdr:rowOff>
    </xdr:to>
    <xdr:grpSp>
      <xdr:nvGrpSpPr>
        <xdr:cNvPr id="44" name="グループ化 43">
          <a:extLst>
            <a:ext uri="{FF2B5EF4-FFF2-40B4-BE49-F238E27FC236}">
              <a16:creationId xmlns:a16="http://schemas.microsoft.com/office/drawing/2014/main" id="{8F350356-B721-5960-8308-E9F986AF3753}"/>
            </a:ext>
          </a:extLst>
        </xdr:cNvPr>
        <xdr:cNvGrpSpPr/>
      </xdr:nvGrpSpPr>
      <xdr:grpSpPr>
        <a:xfrm>
          <a:off x="676275" y="58408358"/>
          <a:ext cx="15829237" cy="6091767"/>
          <a:chOff x="676275" y="58408358"/>
          <a:chExt cx="15829237" cy="6091767"/>
        </a:xfrm>
      </xdr:grpSpPr>
      <xdr:pic>
        <xdr:nvPicPr>
          <xdr:cNvPr id="33" name="図 32">
            <a:extLst>
              <a:ext uri="{FF2B5EF4-FFF2-40B4-BE49-F238E27FC236}">
                <a16:creationId xmlns:a16="http://schemas.microsoft.com/office/drawing/2014/main" id="{5FCD8147-5E79-4C40-7C4B-5E926E5D4AE3}"/>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676275" y="58408358"/>
            <a:ext cx="14573988" cy="609176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6" name="正方形/長方形 35">
            <a:extLst>
              <a:ext uri="{FF2B5EF4-FFF2-40B4-BE49-F238E27FC236}">
                <a16:creationId xmlns:a16="http://schemas.microsoft.com/office/drawing/2014/main" id="{04B1E972-F6B2-4B27-879F-0E83AC4D4862}"/>
              </a:ext>
            </a:extLst>
          </xdr:cNvPr>
          <xdr:cNvSpPr/>
        </xdr:nvSpPr>
        <xdr:spPr>
          <a:xfrm>
            <a:off x="15396744" y="61478583"/>
            <a:ext cx="1108768" cy="995050"/>
          </a:xfrm>
          <a:prstGeom prst="rect">
            <a:avLst/>
          </a:prstGeom>
          <a:ln>
            <a:solidFill>
              <a:srgbClr val="FFC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200" b="1">
                <a:solidFill>
                  <a:srgbClr val="FF0000"/>
                </a:solidFill>
              </a:rPr>
              <a:t>指標は、個別に移動して提案して下さい！）</a:t>
            </a:r>
          </a:p>
        </xdr:txBody>
      </xdr:sp>
      <xdr:sp macro="" textlink="">
        <xdr:nvSpPr>
          <xdr:cNvPr id="43" name="矢印: 左 42">
            <a:extLst>
              <a:ext uri="{FF2B5EF4-FFF2-40B4-BE49-F238E27FC236}">
                <a16:creationId xmlns:a16="http://schemas.microsoft.com/office/drawing/2014/main" id="{AC5BECF0-D6EA-4AD1-9F4E-37C92049C177}"/>
              </a:ext>
            </a:extLst>
          </xdr:cNvPr>
          <xdr:cNvSpPr/>
        </xdr:nvSpPr>
        <xdr:spPr>
          <a:xfrm>
            <a:off x="15218834" y="61821324"/>
            <a:ext cx="177906" cy="309588"/>
          </a:xfrm>
          <a:prstGeom prst="leftArrow">
            <a:avLst/>
          </a:prstGeom>
          <a:solidFill>
            <a:srgbClr val="FFFF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2</xdr:col>
      <xdr:colOff>105833</xdr:colOff>
      <xdr:row>183</xdr:row>
      <xdr:rowOff>31748</xdr:rowOff>
    </xdr:from>
    <xdr:to>
      <xdr:col>25</xdr:col>
      <xdr:colOff>199431</xdr:colOff>
      <xdr:row>206</xdr:row>
      <xdr:rowOff>10582</xdr:rowOff>
    </xdr:to>
    <xdr:pic>
      <xdr:nvPicPr>
        <xdr:cNvPr id="35" name="図 34">
          <a:extLst>
            <a:ext uri="{FF2B5EF4-FFF2-40B4-BE49-F238E27FC236}">
              <a16:creationId xmlns:a16="http://schemas.microsoft.com/office/drawing/2014/main" id="{3515180D-1059-4DB1-B718-DEC6FBE02462}"/>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486833" y="50630665"/>
          <a:ext cx="15936848" cy="6307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355024</xdr:colOff>
      <xdr:row>1</xdr:row>
      <xdr:rowOff>25976</xdr:rowOff>
    </xdr:from>
    <xdr:to>
      <xdr:col>17</xdr:col>
      <xdr:colOff>554182</xdr:colOff>
      <xdr:row>2</xdr:row>
      <xdr:rowOff>112568</xdr:rowOff>
    </xdr:to>
    <xdr:grpSp>
      <xdr:nvGrpSpPr>
        <xdr:cNvPr id="11" name="グループ化 10">
          <a:extLst>
            <a:ext uri="{FF2B5EF4-FFF2-40B4-BE49-F238E27FC236}">
              <a16:creationId xmlns:a16="http://schemas.microsoft.com/office/drawing/2014/main" id="{A6C50C3A-0422-4338-85CE-604C519D6372}"/>
            </a:ext>
          </a:extLst>
        </xdr:cNvPr>
        <xdr:cNvGrpSpPr/>
      </xdr:nvGrpSpPr>
      <xdr:grpSpPr>
        <a:xfrm>
          <a:off x="11577206" y="181840"/>
          <a:ext cx="4494067" cy="571501"/>
          <a:chOff x="10096501" y="1853046"/>
          <a:chExt cx="4502725" cy="571500"/>
        </a:xfrm>
      </xdr:grpSpPr>
      <xdr:sp macro="" textlink="">
        <xdr:nvSpPr>
          <xdr:cNvPr id="12" name="正方形/長方形 11">
            <a:extLst>
              <a:ext uri="{FF2B5EF4-FFF2-40B4-BE49-F238E27FC236}">
                <a16:creationId xmlns:a16="http://schemas.microsoft.com/office/drawing/2014/main" id="{CD0C40AC-B695-E965-6332-0E2ABD3A221E}"/>
              </a:ext>
            </a:extLst>
          </xdr:cNvPr>
          <xdr:cNvSpPr/>
        </xdr:nvSpPr>
        <xdr:spPr>
          <a:xfrm>
            <a:off x="10538113" y="1861705"/>
            <a:ext cx="4061113" cy="476250"/>
          </a:xfrm>
          <a:prstGeom prst="rect">
            <a:avLst/>
          </a:prstGeom>
          <a:solidFill>
            <a:srgbClr val="0000FF"/>
          </a:solidFill>
          <a:ln>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400">
                <a:solidFill>
                  <a:schemeClr val="lt1"/>
                </a:solidFill>
                <a:effectLst/>
                <a:latin typeface="+mn-lt"/>
                <a:ea typeface="+mn-ea"/>
                <a:cs typeface="+mn-cs"/>
              </a:rPr>
              <a:t>このシートの設計変更は制限させていただきます！</a:t>
            </a:r>
            <a:endParaRPr lang="ja-JP" altLang="ja-JP" sz="1400">
              <a:effectLst/>
            </a:endParaRPr>
          </a:p>
          <a:p>
            <a:pPr algn="l"/>
            <a:endParaRPr kumimoji="1" lang="ja-JP" altLang="en-US" sz="1400"/>
          </a:p>
        </xdr:txBody>
      </xdr:sp>
      <xdr:pic>
        <xdr:nvPicPr>
          <xdr:cNvPr id="13" name="図 12">
            <a:extLst>
              <a:ext uri="{FF2B5EF4-FFF2-40B4-BE49-F238E27FC236}">
                <a16:creationId xmlns:a16="http://schemas.microsoft.com/office/drawing/2014/main" id="{F18DA8ED-BCCA-A07E-D395-5665F84AC5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96501" y="1853046"/>
            <a:ext cx="470671" cy="5715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18</xdr:col>
      <xdr:colOff>1000125</xdr:colOff>
      <xdr:row>13</xdr:row>
      <xdr:rowOff>0</xdr:rowOff>
    </xdr:from>
    <xdr:to>
      <xdr:col>19</xdr:col>
      <xdr:colOff>254000</xdr:colOff>
      <xdr:row>13</xdr:row>
      <xdr:rowOff>142875</xdr:rowOff>
    </xdr:to>
    <xdr:sp macro="" textlink="">
      <xdr:nvSpPr>
        <xdr:cNvPr id="29" name="矢印: 左右 28">
          <a:extLst>
            <a:ext uri="{FF2B5EF4-FFF2-40B4-BE49-F238E27FC236}">
              <a16:creationId xmlns:a16="http://schemas.microsoft.com/office/drawing/2014/main" id="{0133D2AA-B125-41CC-9E17-46DBF12114C2}"/>
            </a:ext>
          </a:extLst>
        </xdr:cNvPr>
        <xdr:cNvSpPr/>
      </xdr:nvSpPr>
      <xdr:spPr>
        <a:xfrm>
          <a:off x="18335625" y="3933825"/>
          <a:ext cx="368300" cy="142875"/>
        </a:xfrm>
        <a:prstGeom prst="leftRightArrow">
          <a:avLst/>
        </a:prstGeom>
        <a:solidFill>
          <a:srgbClr val="00B0F0"/>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77932</xdr:colOff>
      <xdr:row>2</xdr:row>
      <xdr:rowOff>225135</xdr:rowOff>
    </xdr:from>
    <xdr:to>
      <xdr:col>9</xdr:col>
      <xdr:colOff>329047</xdr:colOff>
      <xdr:row>4</xdr:row>
      <xdr:rowOff>134010</xdr:rowOff>
    </xdr:to>
    <xdr:sp macro="" textlink="">
      <xdr:nvSpPr>
        <xdr:cNvPr id="49" name="四角形: 角を丸くする 48">
          <a:extLst>
            <a:ext uri="{FF2B5EF4-FFF2-40B4-BE49-F238E27FC236}">
              <a16:creationId xmlns:a16="http://schemas.microsoft.com/office/drawing/2014/main" id="{7D9651CF-41AE-4BA2-B565-3F2705CF801F}"/>
            </a:ext>
          </a:extLst>
        </xdr:cNvPr>
        <xdr:cNvSpPr/>
      </xdr:nvSpPr>
      <xdr:spPr>
        <a:xfrm>
          <a:off x="4329546" y="865908"/>
          <a:ext cx="3212524" cy="471716"/>
        </a:xfrm>
        <a:prstGeom prst="roundRect">
          <a:avLst/>
        </a:prstGeom>
        <a:solidFill>
          <a:srgbClr val="3333FF"/>
        </a:solidFill>
        <a:ln>
          <a:solidFill>
            <a:srgbClr val="0066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t>このシートは、参照シートです！</a:t>
          </a:r>
        </a:p>
      </xdr:txBody>
    </xdr:sp>
    <xdr:clientData/>
  </xdr:twoCellAnchor>
  <xdr:twoCellAnchor>
    <xdr:from>
      <xdr:col>1</xdr:col>
      <xdr:colOff>0</xdr:colOff>
      <xdr:row>0</xdr:row>
      <xdr:rowOff>60613</xdr:rowOff>
    </xdr:from>
    <xdr:to>
      <xdr:col>2</xdr:col>
      <xdr:colOff>1124815</xdr:colOff>
      <xdr:row>1</xdr:row>
      <xdr:rowOff>188768</xdr:rowOff>
    </xdr:to>
    <xdr:sp macro="" textlink="">
      <xdr:nvSpPr>
        <xdr:cNvPr id="2" name="矢印: 五方向 1">
          <a:hlinkClick xmlns:r="http://schemas.openxmlformats.org/officeDocument/2006/relationships" r:id="rId2"/>
          <a:extLst>
            <a:ext uri="{FF2B5EF4-FFF2-40B4-BE49-F238E27FC236}">
              <a16:creationId xmlns:a16="http://schemas.microsoft.com/office/drawing/2014/main" id="{782A6C83-3473-4C0B-B436-7C637DD8B979}"/>
            </a:ext>
          </a:extLst>
        </xdr:cNvPr>
        <xdr:cNvSpPr/>
      </xdr:nvSpPr>
      <xdr:spPr>
        <a:xfrm flipH="1">
          <a:off x="199159" y="60613"/>
          <a:ext cx="1583747" cy="284019"/>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0</xdr:row>
      <xdr:rowOff>60613</xdr:rowOff>
    </xdr:from>
    <xdr:to>
      <xdr:col>4</xdr:col>
      <xdr:colOff>319520</xdr:colOff>
      <xdr:row>0</xdr:row>
      <xdr:rowOff>344632</xdr:rowOff>
    </xdr:to>
    <xdr:sp macro="" textlink="">
      <xdr:nvSpPr>
        <xdr:cNvPr id="3" name="矢印: 五方向 2">
          <a:hlinkClick xmlns:r="http://schemas.openxmlformats.org/officeDocument/2006/relationships" r:id="rId1"/>
          <a:extLst>
            <a:ext uri="{FF2B5EF4-FFF2-40B4-BE49-F238E27FC236}">
              <a16:creationId xmlns:a16="http://schemas.microsoft.com/office/drawing/2014/main" id="{23AB5EA1-A055-421F-B5EE-EFA3A17D4F92}"/>
            </a:ext>
          </a:extLst>
        </xdr:cNvPr>
        <xdr:cNvSpPr/>
      </xdr:nvSpPr>
      <xdr:spPr>
        <a:xfrm flipH="1">
          <a:off x="181841" y="60613"/>
          <a:ext cx="1583747" cy="284019"/>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13</xdr:col>
      <xdr:colOff>266700</xdr:colOff>
      <xdr:row>68</xdr:row>
      <xdr:rowOff>133350</xdr:rowOff>
    </xdr:from>
    <xdr:to>
      <xdr:col>21</xdr:col>
      <xdr:colOff>587375</xdr:colOff>
      <xdr:row>91</xdr:row>
      <xdr:rowOff>150783</xdr:rowOff>
    </xdr:to>
    <xdr:pic>
      <xdr:nvPicPr>
        <xdr:cNvPr id="5" name="図 4">
          <a:extLst>
            <a:ext uri="{FF2B5EF4-FFF2-40B4-BE49-F238E27FC236}">
              <a16:creationId xmlns:a16="http://schemas.microsoft.com/office/drawing/2014/main" id="{110D7F07-3A48-46A3-A55D-564E488FFA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82100" y="12839700"/>
          <a:ext cx="7019925" cy="39607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xdr:row>
      <xdr:rowOff>130993</xdr:rowOff>
    </xdr:from>
    <xdr:to>
      <xdr:col>10</xdr:col>
      <xdr:colOff>966676</xdr:colOff>
      <xdr:row>105</xdr:row>
      <xdr:rowOff>66675</xdr:rowOff>
    </xdr:to>
    <xdr:pic>
      <xdr:nvPicPr>
        <xdr:cNvPr id="9" name="図 8">
          <a:extLst>
            <a:ext uri="{FF2B5EF4-FFF2-40B4-BE49-F238E27FC236}">
              <a16:creationId xmlns:a16="http://schemas.microsoft.com/office/drawing/2014/main" id="{E5A7B7A4-223A-4676-B51B-B4876E0319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4208943"/>
          <a:ext cx="8808926" cy="4907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428625</xdr:colOff>
      <xdr:row>11</xdr:row>
      <xdr:rowOff>67178</xdr:rowOff>
    </xdr:from>
    <xdr:to>
      <xdr:col>13</xdr:col>
      <xdr:colOff>309562</xdr:colOff>
      <xdr:row>17</xdr:row>
      <xdr:rowOff>96837</xdr:rowOff>
    </xdr:to>
    <xdr:pic>
      <xdr:nvPicPr>
        <xdr:cNvPr id="2" name="図 1">
          <a:extLst>
            <a:ext uri="{FF2B5EF4-FFF2-40B4-BE49-F238E27FC236}">
              <a16:creationId xmlns:a16="http://schemas.microsoft.com/office/drawing/2014/main" id="{F5F20E97-0774-8EC7-04F4-7DEEA7E2242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80250" y="3337428"/>
          <a:ext cx="4135437" cy="13314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31752</xdr:rowOff>
    </xdr:from>
    <xdr:to>
      <xdr:col>1</xdr:col>
      <xdr:colOff>901122</xdr:colOff>
      <xdr:row>1</xdr:row>
      <xdr:rowOff>61771</xdr:rowOff>
    </xdr:to>
    <xdr:sp macro="" textlink="">
      <xdr:nvSpPr>
        <xdr:cNvPr id="4" name="矢印: 五方向 3">
          <a:hlinkClick xmlns:r="http://schemas.openxmlformats.org/officeDocument/2006/relationships" r:id="rId4"/>
          <a:extLst>
            <a:ext uri="{FF2B5EF4-FFF2-40B4-BE49-F238E27FC236}">
              <a16:creationId xmlns:a16="http://schemas.microsoft.com/office/drawing/2014/main" id="{935B7865-A722-48A2-9232-3255F30E4C4E}"/>
            </a:ext>
          </a:extLst>
        </xdr:cNvPr>
        <xdr:cNvSpPr/>
      </xdr:nvSpPr>
      <xdr:spPr>
        <a:xfrm flipH="1">
          <a:off x="0" y="31752"/>
          <a:ext cx="1583747" cy="284019"/>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76200</xdr:colOff>
      <xdr:row>0</xdr:row>
      <xdr:rowOff>104775</xdr:rowOff>
    </xdr:from>
    <xdr:to>
      <xdr:col>4</xdr:col>
      <xdr:colOff>12122</xdr:colOff>
      <xdr:row>1</xdr:row>
      <xdr:rowOff>217344</xdr:rowOff>
    </xdr:to>
    <xdr:sp macro="" textlink="">
      <xdr:nvSpPr>
        <xdr:cNvPr id="2" name="矢印: 五方向 1">
          <a:hlinkClick xmlns:r="http://schemas.openxmlformats.org/officeDocument/2006/relationships" r:id="rId1" tooltip="メインメニューに戻る！"/>
          <a:extLst>
            <a:ext uri="{FF2B5EF4-FFF2-40B4-BE49-F238E27FC236}">
              <a16:creationId xmlns:a16="http://schemas.microsoft.com/office/drawing/2014/main" id="{F7638E39-F3E2-4E0E-8C73-F6F2AB924521}"/>
            </a:ext>
          </a:extLst>
        </xdr:cNvPr>
        <xdr:cNvSpPr/>
      </xdr:nvSpPr>
      <xdr:spPr>
        <a:xfrm flipH="1">
          <a:off x="371475" y="104775"/>
          <a:ext cx="1583747" cy="284019"/>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22</xdr:col>
      <xdr:colOff>484910</xdr:colOff>
      <xdr:row>15</xdr:row>
      <xdr:rowOff>233796</xdr:rowOff>
    </xdr:from>
    <xdr:to>
      <xdr:col>25</xdr:col>
      <xdr:colOff>805296</xdr:colOff>
      <xdr:row>18</xdr:row>
      <xdr:rowOff>25979</xdr:rowOff>
    </xdr:to>
    <xdr:sp macro="" textlink="">
      <xdr:nvSpPr>
        <xdr:cNvPr id="3" name="吹き出し: 折線 2">
          <a:extLst>
            <a:ext uri="{FF2B5EF4-FFF2-40B4-BE49-F238E27FC236}">
              <a16:creationId xmlns:a16="http://schemas.microsoft.com/office/drawing/2014/main" id="{782176BE-0722-49D1-BDC7-0C467B8BD633}"/>
            </a:ext>
          </a:extLst>
        </xdr:cNvPr>
        <xdr:cNvSpPr/>
      </xdr:nvSpPr>
      <xdr:spPr>
        <a:xfrm>
          <a:off x="17283546" y="3905251"/>
          <a:ext cx="3602182" cy="545523"/>
        </a:xfrm>
        <a:prstGeom prst="borderCallout2">
          <a:avLst>
            <a:gd name="adj1" fmla="val 106885"/>
            <a:gd name="adj2" fmla="val 29167"/>
            <a:gd name="adj3" fmla="val 151722"/>
            <a:gd name="adj4" fmla="val 26603"/>
            <a:gd name="adj5" fmla="val 311379"/>
            <a:gd name="adj6" fmla="val 1030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rPr>
            <a:t>諸手当の呼称は実態に合わせて変更して下さい！</a:t>
          </a:r>
          <a:endParaRPr kumimoji="1" lang="en-US" altLang="ja-JP" sz="1200" b="1">
            <a:solidFill>
              <a:schemeClr val="tx1"/>
            </a:solidFill>
          </a:endParaRPr>
        </a:p>
        <a:p>
          <a:pPr algn="l"/>
          <a:r>
            <a:rPr kumimoji="1" lang="ja-JP" altLang="en-US" sz="1200" b="1">
              <a:solidFill>
                <a:schemeClr val="tx1"/>
              </a:solidFill>
            </a:rPr>
            <a:t>その際、</a:t>
          </a:r>
          <a:r>
            <a:rPr kumimoji="1" lang="ja-JP" altLang="en-US" sz="1200" b="1" u="sng">
              <a:solidFill>
                <a:srgbClr val="FF0000"/>
              </a:solidFill>
            </a:rPr>
            <a:t>算定対象となる区分に注意して下さい！</a:t>
          </a:r>
        </a:p>
      </xdr:txBody>
    </xdr:sp>
    <xdr:clientData/>
  </xdr:twoCellAnchor>
  <xdr:twoCellAnchor>
    <xdr:from>
      <xdr:col>0</xdr:col>
      <xdr:colOff>0</xdr:colOff>
      <xdr:row>0</xdr:row>
      <xdr:rowOff>0</xdr:rowOff>
    </xdr:from>
    <xdr:to>
      <xdr:col>2</xdr:col>
      <xdr:colOff>830406</xdr:colOff>
      <xdr:row>1</xdr:row>
      <xdr:rowOff>32905</xdr:rowOff>
    </xdr:to>
    <xdr:sp macro="" textlink="">
      <xdr:nvSpPr>
        <xdr:cNvPr id="5" name="矢印: 五方向 4">
          <a:hlinkClick xmlns:r="http://schemas.openxmlformats.org/officeDocument/2006/relationships" r:id="rId1"/>
          <a:extLst>
            <a:ext uri="{FF2B5EF4-FFF2-40B4-BE49-F238E27FC236}">
              <a16:creationId xmlns:a16="http://schemas.microsoft.com/office/drawing/2014/main" id="{D80BF578-B4A9-4DB3-AD59-6DCEA01EC76F}"/>
            </a:ext>
          </a:extLst>
        </xdr:cNvPr>
        <xdr:cNvSpPr/>
      </xdr:nvSpPr>
      <xdr:spPr>
        <a:xfrm flipH="1">
          <a:off x="0" y="0"/>
          <a:ext cx="1582881" cy="280555"/>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twoCellAnchor>
    <xdr:from>
      <xdr:col>14</xdr:col>
      <xdr:colOff>34634</xdr:colOff>
      <xdr:row>0</xdr:row>
      <xdr:rowOff>190499</xdr:rowOff>
    </xdr:from>
    <xdr:to>
      <xdr:col>20</xdr:col>
      <xdr:colOff>424295</xdr:colOff>
      <xdr:row>3</xdr:row>
      <xdr:rowOff>77933</xdr:rowOff>
    </xdr:to>
    <xdr:grpSp>
      <xdr:nvGrpSpPr>
        <xdr:cNvPr id="2" name="グループ化 1">
          <a:extLst>
            <a:ext uri="{FF2B5EF4-FFF2-40B4-BE49-F238E27FC236}">
              <a16:creationId xmlns:a16="http://schemas.microsoft.com/office/drawing/2014/main" id="{BFA39793-4CFA-439F-9A23-06439D4EBFF7}"/>
            </a:ext>
          </a:extLst>
        </xdr:cNvPr>
        <xdr:cNvGrpSpPr/>
      </xdr:nvGrpSpPr>
      <xdr:grpSpPr>
        <a:xfrm>
          <a:off x="9724157" y="190499"/>
          <a:ext cx="5403274" cy="692729"/>
          <a:chOff x="5727930" y="2796"/>
          <a:chExt cx="4049833" cy="600002"/>
        </a:xfrm>
      </xdr:grpSpPr>
      <xdr:sp macro="" textlink="">
        <xdr:nvSpPr>
          <xdr:cNvPr id="7" name="矢印: 下 6">
            <a:extLst>
              <a:ext uri="{FF2B5EF4-FFF2-40B4-BE49-F238E27FC236}">
                <a16:creationId xmlns:a16="http://schemas.microsoft.com/office/drawing/2014/main" id="{2519304B-0DAD-0588-454F-AA359104B262}"/>
              </a:ext>
            </a:extLst>
          </xdr:cNvPr>
          <xdr:cNvSpPr/>
        </xdr:nvSpPr>
        <xdr:spPr>
          <a:xfrm rot="5400000">
            <a:off x="5675322" y="250405"/>
            <a:ext cx="213512" cy="108295"/>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9" name="テキスト ボックス 8">
            <a:extLst>
              <a:ext uri="{FF2B5EF4-FFF2-40B4-BE49-F238E27FC236}">
                <a16:creationId xmlns:a16="http://schemas.microsoft.com/office/drawing/2014/main" id="{74311DDC-CE8F-C30B-970B-4976A3FEFCF4}"/>
              </a:ext>
            </a:extLst>
          </xdr:cNvPr>
          <xdr:cNvSpPr txBox="1"/>
        </xdr:nvSpPr>
        <xdr:spPr>
          <a:xfrm>
            <a:off x="5838495" y="2796"/>
            <a:ext cx="3939268" cy="600002"/>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solidFill>
                  <a:srgbClr val="3333FF"/>
                </a:solidFill>
              </a:rPr>
              <a:t>　</a:t>
            </a:r>
            <a:r>
              <a:rPr kumimoji="1" lang="ja-JP" altLang="en-US" sz="1200" b="1">
                <a:solidFill>
                  <a:schemeClr val="tx1"/>
                </a:solidFill>
              </a:rPr>
              <a:t>「３」：既に社会保険適用拡大が適用されている会社（</a:t>
            </a:r>
            <a:r>
              <a:rPr kumimoji="1" lang="ja-JP" altLang="ja-JP" sz="1200" b="1">
                <a:solidFill>
                  <a:schemeClr val="dk1"/>
                </a:solidFill>
                <a:effectLst/>
                <a:latin typeface="+mn-lt"/>
                <a:ea typeface="+mn-ea"/>
                <a:cs typeface="+mn-cs"/>
              </a:rPr>
              <a:t>１０１人以上の会社</a:t>
            </a:r>
            <a:r>
              <a:rPr kumimoji="1" lang="ja-JP" altLang="en-US" sz="1200" b="1">
                <a:solidFill>
                  <a:schemeClr val="dk1"/>
                </a:solidFill>
                <a:effectLst/>
                <a:latin typeface="+mn-lt"/>
                <a:ea typeface="+mn-ea"/>
                <a:cs typeface="+mn-cs"/>
              </a:rPr>
              <a:t>）</a:t>
            </a:r>
            <a:endParaRPr kumimoji="1" lang="en-US" altLang="ja-JP" sz="1200" b="1">
              <a:solidFill>
                <a:schemeClr val="tx1"/>
              </a:solidFill>
            </a:endParaRPr>
          </a:p>
          <a:p>
            <a:pPr algn="l"/>
            <a:r>
              <a:rPr kumimoji="1" lang="ja-JP" altLang="ja-JP" sz="1200" b="1">
                <a:solidFill>
                  <a:schemeClr val="dk1"/>
                </a:solidFill>
                <a:effectLst/>
                <a:latin typeface="+mn-lt"/>
                <a:ea typeface="+mn-ea"/>
                <a:cs typeface="+mn-cs"/>
              </a:rPr>
              <a:t>　</a:t>
            </a:r>
            <a:r>
              <a:rPr kumimoji="1" lang="ja-JP" altLang="en-US" sz="1200" b="1" baseline="0">
                <a:solidFill>
                  <a:schemeClr val="dk1"/>
                </a:solidFill>
                <a:effectLst/>
                <a:latin typeface="+mn-lt"/>
                <a:ea typeface="+mn-ea"/>
                <a:cs typeface="+mn-cs"/>
              </a:rPr>
              <a:t>　　　</a:t>
            </a:r>
            <a:r>
              <a:rPr kumimoji="1" lang="ja-JP" altLang="ja-JP" sz="1200" b="1" u="sng">
                <a:solidFill>
                  <a:srgbClr val="FF0000"/>
                </a:solidFill>
                <a:effectLst/>
                <a:latin typeface="+mn-lt"/>
                <a:ea typeface="+mn-ea"/>
                <a:cs typeface="+mn-cs"/>
              </a:rPr>
              <a:t>２０２４．１０．１</a:t>
            </a:r>
            <a:r>
              <a:rPr kumimoji="1" lang="ja-JP" altLang="ja-JP" sz="1100" b="1" u="sng">
                <a:solidFill>
                  <a:srgbClr val="FF0000"/>
                </a:solidFill>
                <a:effectLst/>
                <a:latin typeface="+mn-lt"/>
                <a:ea typeface="+mn-ea"/>
                <a:cs typeface="+mn-cs"/>
              </a:rPr>
              <a:t>から</a:t>
            </a:r>
            <a:r>
              <a:rPr kumimoji="1" lang="ja-JP" altLang="en-US" sz="1100" b="1" u="sng">
                <a:solidFill>
                  <a:srgbClr val="FF0000"/>
                </a:solidFill>
                <a:effectLst/>
                <a:latin typeface="+mn-lt"/>
                <a:ea typeface="+mn-ea"/>
                <a:cs typeface="+mn-cs"/>
              </a:rPr>
              <a:t>は</a:t>
            </a:r>
            <a:r>
              <a:rPr kumimoji="1" lang="ja-JP" altLang="ja-JP" sz="1200" b="1" u="sng">
                <a:solidFill>
                  <a:srgbClr val="FF0000"/>
                </a:solidFill>
                <a:effectLst/>
                <a:latin typeface="+mn-lt"/>
                <a:ea typeface="+mn-ea"/>
                <a:cs typeface="+mn-cs"/>
              </a:rPr>
              <a:t>５１人以上</a:t>
            </a:r>
            <a:r>
              <a:rPr kumimoji="1" lang="ja-JP" altLang="en-US" sz="1200" b="1" u="sng">
                <a:solidFill>
                  <a:srgbClr val="FF0000"/>
                </a:solidFill>
                <a:effectLst/>
                <a:latin typeface="+mn-lt"/>
                <a:ea typeface="+mn-ea"/>
                <a:cs typeface="+mn-cs"/>
              </a:rPr>
              <a:t>に適用拡大！</a:t>
            </a:r>
            <a:endParaRPr lang="ja-JP" altLang="ja-JP" sz="1200" u="sng">
              <a:solidFill>
                <a:srgbClr val="FF0000"/>
              </a:solidFill>
              <a:effectLst/>
            </a:endParaRPr>
          </a:p>
        </xdr:txBody>
      </xdr:sp>
    </xdr:grpSp>
    <xdr:clientData/>
  </xdr:twoCellAnchor>
  <xdr:twoCellAnchor>
    <xdr:from>
      <xdr:col>5</xdr:col>
      <xdr:colOff>0</xdr:colOff>
      <xdr:row>2</xdr:row>
      <xdr:rowOff>0</xdr:rowOff>
    </xdr:from>
    <xdr:to>
      <xdr:col>7</xdr:col>
      <xdr:colOff>138546</xdr:colOff>
      <xdr:row>4</xdr:row>
      <xdr:rowOff>95249</xdr:rowOff>
    </xdr:to>
    <xdr:sp macro="" textlink="">
      <xdr:nvSpPr>
        <xdr:cNvPr id="4" name="吹き出し: 折線 3">
          <a:extLst>
            <a:ext uri="{FF2B5EF4-FFF2-40B4-BE49-F238E27FC236}">
              <a16:creationId xmlns:a16="http://schemas.microsoft.com/office/drawing/2014/main" id="{5B45066C-D496-4D7D-94A0-81E0275BD6EB}"/>
            </a:ext>
          </a:extLst>
        </xdr:cNvPr>
        <xdr:cNvSpPr/>
      </xdr:nvSpPr>
      <xdr:spPr>
        <a:xfrm>
          <a:off x="3740727" y="597477"/>
          <a:ext cx="1974274" cy="510886"/>
        </a:xfrm>
        <a:prstGeom prst="borderCallout2">
          <a:avLst>
            <a:gd name="adj1" fmla="val 106885"/>
            <a:gd name="adj2" fmla="val 29167"/>
            <a:gd name="adj3" fmla="val 128920"/>
            <a:gd name="adj4" fmla="val 9775"/>
            <a:gd name="adj5" fmla="val 312501"/>
            <a:gd name="adj6" fmla="val -1281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rPr>
            <a:t>記入例は削除してお使い</a:t>
          </a:r>
          <a:endParaRPr kumimoji="1" lang="en-US" altLang="ja-JP" sz="1200" b="1">
            <a:solidFill>
              <a:schemeClr val="tx1"/>
            </a:solidFill>
          </a:endParaRPr>
        </a:p>
        <a:p>
          <a:pPr algn="l"/>
          <a:r>
            <a:rPr kumimoji="1" lang="ja-JP" altLang="en-US" sz="1200" b="1">
              <a:solidFill>
                <a:schemeClr val="tx1"/>
              </a:solidFill>
            </a:rPr>
            <a:t>ください！</a:t>
          </a:r>
        </a:p>
      </xdr:txBody>
    </xdr:sp>
    <xdr:clientData/>
  </xdr:twoCellAnchor>
  <xdr:twoCellAnchor>
    <xdr:from>
      <xdr:col>17</xdr:col>
      <xdr:colOff>155864</xdr:colOff>
      <xdr:row>4</xdr:row>
      <xdr:rowOff>129886</xdr:rowOff>
    </xdr:from>
    <xdr:to>
      <xdr:col>19</xdr:col>
      <xdr:colOff>502228</xdr:colOff>
      <xdr:row>7</xdr:row>
      <xdr:rowOff>51954</xdr:rowOff>
    </xdr:to>
    <xdr:sp macro="" textlink="">
      <xdr:nvSpPr>
        <xdr:cNvPr id="11" name="吹き出し: 折線 10">
          <a:extLst>
            <a:ext uri="{FF2B5EF4-FFF2-40B4-BE49-F238E27FC236}">
              <a16:creationId xmlns:a16="http://schemas.microsoft.com/office/drawing/2014/main" id="{A9967D78-3837-4900-B226-0993DC2578AF}"/>
            </a:ext>
          </a:extLst>
        </xdr:cNvPr>
        <xdr:cNvSpPr/>
      </xdr:nvSpPr>
      <xdr:spPr>
        <a:xfrm>
          <a:off x="12295909" y="1143000"/>
          <a:ext cx="1974274" cy="510886"/>
        </a:xfrm>
        <a:prstGeom prst="borderCallout2">
          <a:avLst>
            <a:gd name="adj1" fmla="val 106885"/>
            <a:gd name="adj2" fmla="val 29167"/>
            <a:gd name="adj3" fmla="val 167903"/>
            <a:gd name="adj4" fmla="val 24249"/>
            <a:gd name="adj5" fmla="val 236229"/>
            <a:gd name="adj6" fmla="val 1662"/>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rPr>
            <a:t>昇給を加味しないときは「０」を入力！</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361954</xdr:colOff>
      <xdr:row>12</xdr:row>
      <xdr:rowOff>174045</xdr:rowOff>
    </xdr:from>
    <xdr:to>
      <xdr:col>14</xdr:col>
      <xdr:colOff>428626</xdr:colOff>
      <xdr:row>15</xdr:row>
      <xdr:rowOff>298930</xdr:rowOff>
    </xdr:to>
    <xdr:sp macro="" textlink="">
      <xdr:nvSpPr>
        <xdr:cNvPr id="2" name="テキスト ボックス 1">
          <a:extLst>
            <a:ext uri="{FF2B5EF4-FFF2-40B4-BE49-F238E27FC236}">
              <a16:creationId xmlns:a16="http://schemas.microsoft.com/office/drawing/2014/main" id="{2A6674E3-A234-0620-50FD-CF54AFB1A732}"/>
            </a:ext>
          </a:extLst>
        </xdr:cNvPr>
        <xdr:cNvSpPr txBox="1"/>
      </xdr:nvSpPr>
      <xdr:spPr>
        <a:xfrm>
          <a:off x="10315579" y="4365045"/>
          <a:ext cx="3409947" cy="10583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u="sng">
              <a:solidFill>
                <a:srgbClr val="FF0000"/>
              </a:solidFill>
            </a:rPr>
            <a:t>ネット検索を行う際のキーワードの例！</a:t>
          </a:r>
          <a:endParaRPr kumimoji="1" lang="en-US" altLang="ja-JP" sz="1400" b="1" u="sng">
            <a:solidFill>
              <a:srgbClr val="FF0000"/>
            </a:solidFill>
          </a:endParaRPr>
        </a:p>
        <a:p>
          <a:r>
            <a:rPr kumimoji="1" lang="en-US" altLang="ja-JP" sz="1400" b="1"/>
            <a:t>1.</a:t>
          </a:r>
          <a:r>
            <a:rPr kumimoji="1" lang="ja-JP" altLang="en-US" sz="1400" b="1"/>
            <a:t>地方税の計算＋市区町村名　</a:t>
          </a:r>
          <a:endParaRPr kumimoji="1" lang="en-US" altLang="ja-JP" sz="1400" b="1"/>
        </a:p>
        <a:p>
          <a:r>
            <a:rPr kumimoji="1" lang="en-US" altLang="ja-JP" sz="1400" b="1"/>
            <a:t>2.</a:t>
          </a:r>
          <a:r>
            <a:rPr kumimoji="1" lang="ja-JP" altLang="en-US" sz="1400" b="1"/>
            <a:t>町民税の計算＋市区町村名</a:t>
          </a:r>
          <a:endParaRPr kumimoji="1" lang="en-US" altLang="ja-JP" sz="1400" b="1"/>
        </a:p>
        <a:p>
          <a:r>
            <a:rPr kumimoji="1" lang="en-US" altLang="ja-JP" sz="1400" b="1"/>
            <a:t>3.</a:t>
          </a:r>
          <a:r>
            <a:rPr kumimoji="1" lang="ja-JP" altLang="en-US" sz="1400" b="1"/>
            <a:t>市民税の計算＋市区町村名　など</a:t>
          </a:r>
        </a:p>
      </xdr:txBody>
    </xdr:sp>
    <xdr:clientData/>
  </xdr:twoCellAnchor>
  <xdr:twoCellAnchor>
    <xdr:from>
      <xdr:col>0</xdr:col>
      <xdr:colOff>95250</xdr:colOff>
      <xdr:row>0</xdr:row>
      <xdr:rowOff>66675</xdr:rowOff>
    </xdr:from>
    <xdr:to>
      <xdr:col>3</xdr:col>
      <xdr:colOff>993197</xdr:colOff>
      <xdr:row>1</xdr:row>
      <xdr:rowOff>7794</xdr:rowOff>
    </xdr:to>
    <xdr:sp macro="" textlink="">
      <xdr:nvSpPr>
        <xdr:cNvPr id="5" name="矢印: 五方向 4">
          <a:hlinkClick xmlns:r="http://schemas.openxmlformats.org/officeDocument/2006/relationships" r:id="rId1"/>
          <a:extLst>
            <a:ext uri="{FF2B5EF4-FFF2-40B4-BE49-F238E27FC236}">
              <a16:creationId xmlns:a16="http://schemas.microsoft.com/office/drawing/2014/main" id="{5BE13476-0D07-4294-852F-511789DA5DDB}"/>
            </a:ext>
          </a:extLst>
        </xdr:cNvPr>
        <xdr:cNvSpPr/>
      </xdr:nvSpPr>
      <xdr:spPr>
        <a:xfrm flipH="1">
          <a:off x="95250" y="66675"/>
          <a:ext cx="1583747" cy="284019"/>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391097</xdr:colOff>
      <xdr:row>4</xdr:row>
      <xdr:rowOff>303068</xdr:rowOff>
    </xdr:from>
    <xdr:to>
      <xdr:col>6</xdr:col>
      <xdr:colOff>2849557</xdr:colOff>
      <xdr:row>6</xdr:row>
      <xdr:rowOff>40409</xdr:rowOff>
    </xdr:to>
    <xdr:sp macro="" textlink="">
      <xdr:nvSpPr>
        <xdr:cNvPr id="2" name="四角形: 角を丸くする 1">
          <a:extLst>
            <a:ext uri="{FF2B5EF4-FFF2-40B4-BE49-F238E27FC236}">
              <a16:creationId xmlns:a16="http://schemas.microsoft.com/office/drawing/2014/main" id="{65A1772D-CBAE-46F5-852B-D727C3970B1A}"/>
            </a:ext>
          </a:extLst>
        </xdr:cNvPr>
        <xdr:cNvSpPr/>
      </xdr:nvSpPr>
      <xdr:spPr>
        <a:xfrm rot="16200000">
          <a:off x="8260407" y="-2160804"/>
          <a:ext cx="324716" cy="7427335"/>
        </a:xfrm>
        <a:prstGeom prst="roundRect">
          <a:avLst/>
        </a:prstGeom>
        <a:noFill/>
        <a:ln>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313170</xdr:colOff>
      <xdr:row>9</xdr:row>
      <xdr:rowOff>8658</xdr:rowOff>
    </xdr:from>
    <xdr:to>
      <xdr:col>6</xdr:col>
      <xdr:colOff>2754314</xdr:colOff>
      <xdr:row>10</xdr:row>
      <xdr:rowOff>14431</xdr:rowOff>
    </xdr:to>
    <xdr:sp macro="" textlink="">
      <xdr:nvSpPr>
        <xdr:cNvPr id="8" name="四角形: 角を丸くする 7">
          <a:extLst>
            <a:ext uri="{FF2B5EF4-FFF2-40B4-BE49-F238E27FC236}">
              <a16:creationId xmlns:a16="http://schemas.microsoft.com/office/drawing/2014/main" id="{9F492698-2244-42F7-947A-6362E6D70E69}"/>
            </a:ext>
          </a:extLst>
        </xdr:cNvPr>
        <xdr:cNvSpPr/>
      </xdr:nvSpPr>
      <xdr:spPr>
        <a:xfrm rot="16200000">
          <a:off x="8174543" y="-193027"/>
          <a:ext cx="323273" cy="7410019"/>
        </a:xfrm>
        <a:prstGeom prst="roundRect">
          <a:avLst/>
        </a:prstGeom>
        <a:noFill/>
        <a:ln>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294553</xdr:colOff>
      <xdr:row>13</xdr:row>
      <xdr:rowOff>6639</xdr:rowOff>
    </xdr:from>
    <xdr:to>
      <xdr:col>6</xdr:col>
      <xdr:colOff>2825751</xdr:colOff>
      <xdr:row>14</xdr:row>
      <xdr:rowOff>12412</xdr:rowOff>
    </xdr:to>
    <xdr:sp macro="" textlink="">
      <xdr:nvSpPr>
        <xdr:cNvPr id="9" name="四角形: 角を丸くする 8">
          <a:extLst>
            <a:ext uri="{FF2B5EF4-FFF2-40B4-BE49-F238E27FC236}">
              <a16:creationId xmlns:a16="http://schemas.microsoft.com/office/drawing/2014/main" id="{1B10336C-CC1C-46DC-A5A8-819C492ACA1C}"/>
            </a:ext>
          </a:extLst>
        </xdr:cNvPr>
        <xdr:cNvSpPr/>
      </xdr:nvSpPr>
      <xdr:spPr>
        <a:xfrm rot="16200000">
          <a:off x="8200953" y="1791927"/>
          <a:ext cx="323273" cy="7500073"/>
        </a:xfrm>
        <a:prstGeom prst="roundRect">
          <a:avLst/>
        </a:prstGeom>
        <a:noFill/>
        <a:ln>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285751</xdr:colOff>
      <xdr:row>15</xdr:row>
      <xdr:rowOff>23811</xdr:rowOff>
    </xdr:from>
    <xdr:to>
      <xdr:col>1</xdr:col>
      <xdr:colOff>531813</xdr:colOff>
      <xdr:row>15</xdr:row>
      <xdr:rowOff>492124</xdr:rowOff>
    </xdr:to>
    <xdr:sp macro="" textlink="">
      <xdr:nvSpPr>
        <xdr:cNvPr id="3" name="楕円 2">
          <a:extLst>
            <a:ext uri="{FF2B5EF4-FFF2-40B4-BE49-F238E27FC236}">
              <a16:creationId xmlns:a16="http://schemas.microsoft.com/office/drawing/2014/main" id="{3D5BA206-8CF5-47D3-9D89-016730F73EA9}"/>
            </a:ext>
          </a:extLst>
        </xdr:cNvPr>
        <xdr:cNvSpPr/>
      </xdr:nvSpPr>
      <xdr:spPr>
        <a:xfrm>
          <a:off x="285751" y="6032499"/>
          <a:ext cx="539750" cy="468313"/>
        </a:xfrm>
        <a:prstGeom prst="ellipse">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952500</xdr:colOff>
      <xdr:row>12</xdr:row>
      <xdr:rowOff>865187</xdr:rowOff>
    </xdr:from>
    <xdr:to>
      <xdr:col>4</xdr:col>
      <xdr:colOff>1492250</xdr:colOff>
      <xdr:row>14</xdr:row>
      <xdr:rowOff>127000</xdr:rowOff>
    </xdr:to>
    <xdr:sp macro="" textlink="">
      <xdr:nvSpPr>
        <xdr:cNvPr id="4" name="楕円 3">
          <a:extLst>
            <a:ext uri="{FF2B5EF4-FFF2-40B4-BE49-F238E27FC236}">
              <a16:creationId xmlns:a16="http://schemas.microsoft.com/office/drawing/2014/main" id="{3000A897-FD9E-438D-A9A3-CA6267859423}"/>
            </a:ext>
          </a:extLst>
        </xdr:cNvPr>
        <xdr:cNvSpPr/>
      </xdr:nvSpPr>
      <xdr:spPr>
        <a:xfrm>
          <a:off x="5270500" y="5349875"/>
          <a:ext cx="539750" cy="468313"/>
        </a:xfrm>
        <a:prstGeom prst="ellipse">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0</xdr:colOff>
      <xdr:row>14</xdr:row>
      <xdr:rowOff>230188</xdr:rowOff>
    </xdr:from>
    <xdr:to>
      <xdr:col>5</xdr:col>
      <xdr:colOff>0</xdr:colOff>
      <xdr:row>17</xdr:row>
      <xdr:rowOff>31751</xdr:rowOff>
    </xdr:to>
    <xdr:sp macro="" textlink="">
      <xdr:nvSpPr>
        <xdr:cNvPr id="5" name="四角形: 角を丸くする 4">
          <a:extLst>
            <a:ext uri="{FF2B5EF4-FFF2-40B4-BE49-F238E27FC236}">
              <a16:creationId xmlns:a16="http://schemas.microsoft.com/office/drawing/2014/main" id="{45110ABA-3C0D-424D-A409-25D59746A72E}"/>
            </a:ext>
          </a:extLst>
        </xdr:cNvPr>
        <xdr:cNvSpPr/>
      </xdr:nvSpPr>
      <xdr:spPr>
        <a:xfrm>
          <a:off x="4318000" y="5921376"/>
          <a:ext cx="2484438" cy="1301750"/>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134938</xdr:colOff>
      <xdr:row>0</xdr:row>
      <xdr:rowOff>95250</xdr:rowOff>
    </xdr:from>
    <xdr:to>
      <xdr:col>2</xdr:col>
      <xdr:colOff>853497</xdr:colOff>
      <xdr:row>1</xdr:row>
      <xdr:rowOff>204644</xdr:rowOff>
    </xdr:to>
    <xdr:sp macro="" textlink="">
      <xdr:nvSpPr>
        <xdr:cNvPr id="6" name="矢印: 五方向 5">
          <a:hlinkClick xmlns:r="http://schemas.openxmlformats.org/officeDocument/2006/relationships" r:id="rId1"/>
          <a:extLst>
            <a:ext uri="{FF2B5EF4-FFF2-40B4-BE49-F238E27FC236}">
              <a16:creationId xmlns:a16="http://schemas.microsoft.com/office/drawing/2014/main" id="{C8345259-1A07-432F-A2B4-2F0A56F27614}"/>
            </a:ext>
          </a:extLst>
        </xdr:cNvPr>
        <xdr:cNvSpPr/>
      </xdr:nvSpPr>
      <xdr:spPr>
        <a:xfrm flipH="1">
          <a:off x="134938" y="95250"/>
          <a:ext cx="1583747" cy="284019"/>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1342158</xdr:colOff>
      <xdr:row>2</xdr:row>
      <xdr:rowOff>178956</xdr:rowOff>
    </xdr:from>
    <xdr:to>
      <xdr:col>5</xdr:col>
      <xdr:colOff>43295</xdr:colOff>
      <xdr:row>4</xdr:row>
      <xdr:rowOff>75768</xdr:rowOff>
    </xdr:to>
    <xdr:sp macro="" textlink="">
      <xdr:nvSpPr>
        <xdr:cNvPr id="3" name="楕円 2">
          <a:extLst>
            <a:ext uri="{FF2B5EF4-FFF2-40B4-BE49-F238E27FC236}">
              <a16:creationId xmlns:a16="http://schemas.microsoft.com/office/drawing/2014/main" id="{0542AB58-5FB1-4860-B4A5-5BA1CC2FF64B}"/>
            </a:ext>
          </a:extLst>
        </xdr:cNvPr>
        <xdr:cNvSpPr/>
      </xdr:nvSpPr>
      <xdr:spPr>
        <a:xfrm>
          <a:off x="2000249" y="854365"/>
          <a:ext cx="1385455" cy="459653"/>
        </a:xfrm>
        <a:prstGeom prst="ellipse">
          <a:avLst/>
        </a:prstGeom>
        <a:no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142874</xdr:colOff>
      <xdr:row>4</xdr:row>
      <xdr:rowOff>77932</xdr:rowOff>
    </xdr:from>
    <xdr:to>
      <xdr:col>24</xdr:col>
      <xdr:colOff>510886</xdr:colOff>
      <xdr:row>5</xdr:row>
      <xdr:rowOff>15874</xdr:rowOff>
    </xdr:to>
    <xdr:sp macro="" textlink="">
      <xdr:nvSpPr>
        <xdr:cNvPr id="4" name="矢印: 右 3">
          <a:extLst>
            <a:ext uri="{FF2B5EF4-FFF2-40B4-BE49-F238E27FC236}">
              <a16:creationId xmlns:a16="http://schemas.microsoft.com/office/drawing/2014/main" id="{6A88DF26-6400-4E31-B807-5788EC474B0A}"/>
            </a:ext>
          </a:extLst>
        </xdr:cNvPr>
        <xdr:cNvSpPr/>
      </xdr:nvSpPr>
      <xdr:spPr>
        <a:xfrm>
          <a:off x="15630524" y="1316182"/>
          <a:ext cx="1377662" cy="318942"/>
        </a:xfrm>
        <a:prstGeom prst="rightArrow">
          <a:avLst/>
        </a:prstGeom>
        <a:solidFill>
          <a:srgbClr val="0000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142874</xdr:colOff>
      <xdr:row>4</xdr:row>
      <xdr:rowOff>34636</xdr:rowOff>
    </xdr:from>
    <xdr:to>
      <xdr:col>36</xdr:col>
      <xdr:colOff>325437</xdr:colOff>
      <xdr:row>5</xdr:row>
      <xdr:rowOff>15874</xdr:rowOff>
    </xdr:to>
    <xdr:sp macro="" textlink="">
      <xdr:nvSpPr>
        <xdr:cNvPr id="5" name="矢印: 右 4">
          <a:extLst>
            <a:ext uri="{FF2B5EF4-FFF2-40B4-BE49-F238E27FC236}">
              <a16:creationId xmlns:a16="http://schemas.microsoft.com/office/drawing/2014/main" id="{A19C965D-DFCE-4DB0-BAA1-864FEEC40BC6}"/>
            </a:ext>
          </a:extLst>
        </xdr:cNvPr>
        <xdr:cNvSpPr/>
      </xdr:nvSpPr>
      <xdr:spPr>
        <a:xfrm>
          <a:off x="28727399" y="1272886"/>
          <a:ext cx="1316038" cy="362238"/>
        </a:xfrm>
        <a:prstGeom prst="rightArrow">
          <a:avLst/>
        </a:prstGeom>
        <a:solidFill>
          <a:srgbClr val="0000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142874</xdr:colOff>
      <xdr:row>4</xdr:row>
      <xdr:rowOff>51955</xdr:rowOff>
    </xdr:from>
    <xdr:to>
      <xdr:col>42</xdr:col>
      <xdr:colOff>1368136</xdr:colOff>
      <xdr:row>5</xdr:row>
      <xdr:rowOff>15875</xdr:rowOff>
    </xdr:to>
    <xdr:sp macro="" textlink="">
      <xdr:nvSpPr>
        <xdr:cNvPr id="6" name="矢印: 右 5">
          <a:extLst>
            <a:ext uri="{FF2B5EF4-FFF2-40B4-BE49-F238E27FC236}">
              <a16:creationId xmlns:a16="http://schemas.microsoft.com/office/drawing/2014/main" id="{A1C7F1A4-0E5A-4E70-B066-74D195D60B48}"/>
            </a:ext>
          </a:extLst>
        </xdr:cNvPr>
        <xdr:cNvSpPr/>
      </xdr:nvSpPr>
      <xdr:spPr>
        <a:xfrm>
          <a:off x="36699824" y="1290205"/>
          <a:ext cx="1225262" cy="344920"/>
        </a:xfrm>
        <a:prstGeom prst="rightArrow">
          <a:avLst/>
        </a:prstGeom>
        <a:solidFill>
          <a:srgbClr val="0000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1311736</xdr:colOff>
      <xdr:row>3</xdr:row>
      <xdr:rowOff>147207</xdr:rowOff>
    </xdr:from>
    <xdr:to>
      <xdr:col>6</xdr:col>
      <xdr:colOff>1099705</xdr:colOff>
      <xdr:row>5</xdr:row>
      <xdr:rowOff>155862</xdr:rowOff>
    </xdr:to>
    <xdr:grpSp>
      <xdr:nvGrpSpPr>
        <xdr:cNvPr id="9" name="グループ化 8">
          <a:extLst>
            <a:ext uri="{FF2B5EF4-FFF2-40B4-BE49-F238E27FC236}">
              <a16:creationId xmlns:a16="http://schemas.microsoft.com/office/drawing/2014/main" id="{03E2CF1C-38E1-B756-E1DA-56F4DF379B7E}"/>
            </a:ext>
          </a:extLst>
        </xdr:cNvPr>
        <xdr:cNvGrpSpPr/>
      </xdr:nvGrpSpPr>
      <xdr:grpSpPr>
        <a:xfrm>
          <a:off x="3311986" y="1033032"/>
          <a:ext cx="2035869" cy="703980"/>
          <a:chOff x="995773" y="1294187"/>
          <a:chExt cx="1446282" cy="669362"/>
        </a:xfrm>
      </xdr:grpSpPr>
      <xdr:sp macro="" textlink="">
        <xdr:nvSpPr>
          <xdr:cNvPr id="12" name="矢印: 左 11">
            <a:extLst>
              <a:ext uri="{FF2B5EF4-FFF2-40B4-BE49-F238E27FC236}">
                <a16:creationId xmlns:a16="http://schemas.microsoft.com/office/drawing/2014/main" id="{84E624EC-1B6F-BE13-068B-C85308F0AA10}"/>
              </a:ext>
            </a:extLst>
          </xdr:cNvPr>
          <xdr:cNvSpPr/>
        </xdr:nvSpPr>
        <xdr:spPr>
          <a:xfrm rot="1593970">
            <a:off x="995773" y="1385070"/>
            <a:ext cx="579474" cy="2010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a:extLst>
              <a:ext uri="{FF2B5EF4-FFF2-40B4-BE49-F238E27FC236}">
                <a16:creationId xmlns:a16="http://schemas.microsoft.com/office/drawing/2014/main" id="{C980F605-3C45-615D-62D1-877F5BB8BB37}"/>
              </a:ext>
            </a:extLst>
          </xdr:cNvPr>
          <xdr:cNvSpPr txBox="1"/>
        </xdr:nvSpPr>
        <xdr:spPr>
          <a:xfrm>
            <a:off x="1538993" y="1294187"/>
            <a:ext cx="903062" cy="6693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a:t>※</a:t>
            </a:r>
            <a:r>
              <a:rPr kumimoji="1" lang="ja-JP" altLang="en-US" sz="1200" b="1"/>
              <a:t>このシートの入力セルは</a:t>
            </a:r>
            <a:r>
              <a:rPr kumimoji="1" lang="ja-JP" altLang="en-US" sz="1200" b="1">
                <a:solidFill>
                  <a:srgbClr val="FF0000"/>
                </a:solidFill>
              </a:rPr>
              <a:t>１ヵ所</a:t>
            </a:r>
            <a:r>
              <a:rPr kumimoji="1" lang="ja-JP" altLang="en-US" sz="1200" b="1"/>
              <a:t>です！</a:t>
            </a:r>
          </a:p>
        </xdr:txBody>
      </xdr:sp>
    </xdr:grpSp>
    <xdr:clientData/>
  </xdr:twoCellAnchor>
  <xdr:twoCellAnchor>
    <xdr:from>
      <xdr:col>13</xdr:col>
      <xdr:colOff>155864</xdr:colOff>
      <xdr:row>3</xdr:row>
      <xdr:rowOff>233796</xdr:rowOff>
    </xdr:from>
    <xdr:to>
      <xdr:col>16</xdr:col>
      <xdr:colOff>891887</xdr:colOff>
      <xdr:row>5</xdr:row>
      <xdr:rowOff>112569</xdr:rowOff>
    </xdr:to>
    <xdr:grpSp>
      <xdr:nvGrpSpPr>
        <xdr:cNvPr id="17" name="グループ化 16">
          <a:extLst>
            <a:ext uri="{FF2B5EF4-FFF2-40B4-BE49-F238E27FC236}">
              <a16:creationId xmlns:a16="http://schemas.microsoft.com/office/drawing/2014/main" id="{00F5C344-E9EB-423E-80C2-49FA06294BA1}"/>
            </a:ext>
          </a:extLst>
        </xdr:cNvPr>
        <xdr:cNvGrpSpPr/>
      </xdr:nvGrpSpPr>
      <xdr:grpSpPr>
        <a:xfrm>
          <a:off x="11376314" y="1119621"/>
          <a:ext cx="4050723" cy="574098"/>
          <a:chOff x="10096501" y="1853046"/>
          <a:chExt cx="4502725" cy="571500"/>
        </a:xfrm>
      </xdr:grpSpPr>
      <xdr:sp macro="" textlink="">
        <xdr:nvSpPr>
          <xdr:cNvPr id="18" name="正方形/長方形 17">
            <a:extLst>
              <a:ext uri="{FF2B5EF4-FFF2-40B4-BE49-F238E27FC236}">
                <a16:creationId xmlns:a16="http://schemas.microsoft.com/office/drawing/2014/main" id="{566CA286-22E9-EB32-6792-B9E46E94CC1F}"/>
              </a:ext>
            </a:extLst>
          </xdr:cNvPr>
          <xdr:cNvSpPr/>
        </xdr:nvSpPr>
        <xdr:spPr>
          <a:xfrm>
            <a:off x="10538113" y="1861705"/>
            <a:ext cx="4061113" cy="476250"/>
          </a:xfrm>
          <a:prstGeom prst="rect">
            <a:avLst/>
          </a:prstGeom>
          <a:solidFill>
            <a:srgbClr val="0000FF"/>
          </a:solidFill>
          <a:ln>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200" b="1">
                <a:solidFill>
                  <a:schemeClr val="lt1"/>
                </a:solidFill>
                <a:effectLst/>
                <a:latin typeface="+mn-lt"/>
                <a:ea typeface="+mn-ea"/>
                <a:cs typeface="+mn-cs"/>
              </a:rPr>
              <a:t>このシートの設計変更は制限させていただきます！</a:t>
            </a:r>
            <a:endParaRPr kumimoji="1" lang="ja-JP" altLang="en-US" sz="1200" b="1"/>
          </a:p>
        </xdr:txBody>
      </xdr:sp>
      <xdr:pic>
        <xdr:nvPicPr>
          <xdr:cNvPr id="19" name="図 18">
            <a:extLst>
              <a:ext uri="{FF2B5EF4-FFF2-40B4-BE49-F238E27FC236}">
                <a16:creationId xmlns:a16="http://schemas.microsoft.com/office/drawing/2014/main" id="{A3AF2368-9481-28EC-D3B4-0509BCCCFD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96501" y="1853046"/>
            <a:ext cx="470671" cy="5715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1058573</xdr:colOff>
      <xdr:row>12</xdr:row>
      <xdr:rowOff>355022</xdr:rowOff>
    </xdr:from>
    <xdr:to>
      <xdr:col>13</xdr:col>
      <xdr:colOff>162358</xdr:colOff>
      <xdr:row>13</xdr:row>
      <xdr:rowOff>147204</xdr:rowOff>
    </xdr:to>
    <xdr:sp macro="" textlink="">
      <xdr:nvSpPr>
        <xdr:cNvPr id="25" name="矢印: 下 24">
          <a:extLst>
            <a:ext uri="{FF2B5EF4-FFF2-40B4-BE49-F238E27FC236}">
              <a16:creationId xmlns:a16="http://schemas.microsoft.com/office/drawing/2014/main" id="{3390CC4F-B702-476D-A01C-3A189E1DCB2B}"/>
            </a:ext>
          </a:extLst>
        </xdr:cNvPr>
        <xdr:cNvSpPr/>
      </xdr:nvSpPr>
      <xdr:spPr>
        <a:xfrm>
          <a:off x="6973598" y="3955472"/>
          <a:ext cx="227735" cy="163657"/>
        </a:xfrm>
        <a:prstGeom prst="downArrow">
          <a:avLst/>
        </a:prstGeom>
        <a:solidFill>
          <a:srgbClr val="0000CC"/>
        </a:solid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1000125</xdr:colOff>
      <xdr:row>13</xdr:row>
      <xdr:rowOff>0</xdr:rowOff>
    </xdr:from>
    <xdr:to>
      <xdr:col>19</xdr:col>
      <xdr:colOff>254000</xdr:colOff>
      <xdr:row>13</xdr:row>
      <xdr:rowOff>142875</xdr:rowOff>
    </xdr:to>
    <xdr:sp macro="" textlink="">
      <xdr:nvSpPr>
        <xdr:cNvPr id="36" name="矢印: 左右 35">
          <a:extLst>
            <a:ext uri="{FF2B5EF4-FFF2-40B4-BE49-F238E27FC236}">
              <a16:creationId xmlns:a16="http://schemas.microsoft.com/office/drawing/2014/main" id="{A5896FF6-9720-445E-9455-34CC6A1C720F}"/>
            </a:ext>
          </a:extLst>
        </xdr:cNvPr>
        <xdr:cNvSpPr/>
      </xdr:nvSpPr>
      <xdr:spPr>
        <a:xfrm>
          <a:off x="13754966" y="3983182"/>
          <a:ext cx="370898" cy="142875"/>
        </a:xfrm>
        <a:prstGeom prst="leftRightArrow">
          <a:avLst/>
        </a:prstGeom>
        <a:solidFill>
          <a:srgbClr val="00B0F0"/>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381002</xdr:colOff>
      <xdr:row>8</xdr:row>
      <xdr:rowOff>259773</xdr:rowOff>
    </xdr:from>
    <xdr:to>
      <xdr:col>11</xdr:col>
      <xdr:colOff>424299</xdr:colOff>
      <xdr:row>12</xdr:row>
      <xdr:rowOff>47419</xdr:rowOff>
    </xdr:to>
    <xdr:sp macro="" textlink="">
      <xdr:nvSpPr>
        <xdr:cNvPr id="2" name="四角形: 角を丸くする 1">
          <a:extLst>
            <a:ext uri="{FF2B5EF4-FFF2-40B4-BE49-F238E27FC236}">
              <a16:creationId xmlns:a16="http://schemas.microsoft.com/office/drawing/2014/main" id="{D5FA9D97-445A-4BA0-9861-5F3886260893}"/>
            </a:ext>
          </a:extLst>
        </xdr:cNvPr>
        <xdr:cNvSpPr/>
      </xdr:nvSpPr>
      <xdr:spPr>
        <a:xfrm>
          <a:off x="6710797" y="2744932"/>
          <a:ext cx="2926775" cy="878692"/>
        </a:xfrm>
        <a:prstGeom prst="roundRect">
          <a:avLst/>
        </a:prstGeom>
        <a:solidFill>
          <a:srgbClr val="FF00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t>手当等支給メニュー</a:t>
          </a:r>
          <a:endParaRPr kumimoji="1" lang="en-US" altLang="ja-JP" sz="1800" b="1"/>
        </a:p>
        <a:p>
          <a:pPr algn="ctr"/>
          <a:r>
            <a:rPr kumimoji="1" lang="ja-JP" altLang="en-US" sz="1800" b="1">
              <a:solidFill>
                <a:srgbClr val="FFFF00"/>
              </a:solidFill>
            </a:rPr>
            <a:t>（１・２年目ｏｒ１年目）</a:t>
          </a:r>
        </a:p>
      </xdr:txBody>
    </xdr:sp>
    <xdr:clientData/>
  </xdr:twoCellAnchor>
  <xdr:twoCellAnchor>
    <xdr:from>
      <xdr:col>0</xdr:col>
      <xdr:colOff>86591</xdr:colOff>
      <xdr:row>0</xdr:row>
      <xdr:rowOff>69273</xdr:rowOff>
    </xdr:from>
    <xdr:to>
      <xdr:col>2</xdr:col>
      <xdr:colOff>1012247</xdr:colOff>
      <xdr:row>1</xdr:row>
      <xdr:rowOff>197428</xdr:rowOff>
    </xdr:to>
    <xdr:sp macro="" textlink="">
      <xdr:nvSpPr>
        <xdr:cNvPr id="7" name="矢印: 五方向 6">
          <a:hlinkClick xmlns:r="http://schemas.openxmlformats.org/officeDocument/2006/relationships" r:id="rId2"/>
          <a:extLst>
            <a:ext uri="{FF2B5EF4-FFF2-40B4-BE49-F238E27FC236}">
              <a16:creationId xmlns:a16="http://schemas.microsoft.com/office/drawing/2014/main" id="{793B71E7-7E32-425A-B5E3-3F04AD37C59F}"/>
            </a:ext>
          </a:extLst>
        </xdr:cNvPr>
        <xdr:cNvSpPr/>
      </xdr:nvSpPr>
      <xdr:spPr>
        <a:xfrm flipH="1">
          <a:off x="86591" y="69273"/>
          <a:ext cx="1583747" cy="284019"/>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twoCellAnchor>
    <xdr:from>
      <xdr:col>11</xdr:col>
      <xdr:colOff>103909</xdr:colOff>
      <xdr:row>1</xdr:row>
      <xdr:rowOff>17319</xdr:rowOff>
    </xdr:from>
    <xdr:to>
      <xdr:col>16</xdr:col>
      <xdr:colOff>225137</xdr:colOff>
      <xdr:row>2</xdr:row>
      <xdr:rowOff>121228</xdr:rowOff>
    </xdr:to>
    <xdr:sp macro="" textlink="">
      <xdr:nvSpPr>
        <xdr:cNvPr id="8" name="四角形: 角を丸くする 7">
          <a:extLst>
            <a:ext uri="{FF2B5EF4-FFF2-40B4-BE49-F238E27FC236}">
              <a16:creationId xmlns:a16="http://schemas.microsoft.com/office/drawing/2014/main" id="{3DB1BA9E-213C-4044-922A-41739685B411}"/>
            </a:ext>
          </a:extLst>
        </xdr:cNvPr>
        <xdr:cNvSpPr/>
      </xdr:nvSpPr>
      <xdr:spPr>
        <a:xfrm>
          <a:off x="9317182" y="173183"/>
          <a:ext cx="5308023" cy="588818"/>
        </a:xfrm>
        <a:prstGeom prst="roundRect">
          <a:avLst/>
        </a:prstGeom>
        <a:solidFill>
          <a:srgbClr val="3333FF"/>
        </a:solidFill>
        <a:ln>
          <a:solidFill>
            <a:srgbClr val="0066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t>このシートは、社会保険加入者</a:t>
          </a:r>
          <a:r>
            <a:rPr kumimoji="1" lang="ja-JP" altLang="en-US" sz="1400">
              <a:solidFill>
                <a:srgbClr val="99FFCC"/>
              </a:solidFill>
            </a:rPr>
            <a:t>１０１人以上</a:t>
          </a:r>
          <a:r>
            <a:rPr kumimoji="1" lang="ja-JP" altLang="en-US" sz="1400"/>
            <a:t>の企業が対象です！</a:t>
          </a:r>
          <a:endParaRPr kumimoji="1" lang="en-US" altLang="ja-JP" sz="1400"/>
        </a:p>
        <a:p>
          <a:pPr algn="ctr"/>
          <a:r>
            <a:rPr kumimoji="1" lang="ja-JP" altLang="ja-JP" sz="1100" b="1" u="sng">
              <a:solidFill>
                <a:schemeClr val="lt1"/>
              </a:solidFill>
              <a:effectLst/>
              <a:latin typeface="+mn-lt"/>
              <a:ea typeface="+mn-ea"/>
              <a:cs typeface="+mn-cs"/>
            </a:rPr>
            <a:t>２０２４．１０．１からは５１人以上に適用拡大！</a:t>
          </a:r>
          <a:endParaRPr kumimoji="1" lang="ja-JP" altLang="en-US" sz="1600"/>
        </a:p>
      </xdr:txBody>
    </xdr:sp>
    <xdr:clientData/>
  </xdr:twoCellAnchor>
  <xdr:twoCellAnchor>
    <xdr:from>
      <xdr:col>17</xdr:col>
      <xdr:colOff>188771</xdr:colOff>
      <xdr:row>1</xdr:row>
      <xdr:rowOff>361952</xdr:rowOff>
    </xdr:from>
    <xdr:to>
      <xdr:col>20</xdr:col>
      <xdr:colOff>238129</xdr:colOff>
      <xdr:row>12</xdr:row>
      <xdr:rowOff>295274</xdr:rowOff>
    </xdr:to>
    <xdr:grpSp>
      <xdr:nvGrpSpPr>
        <xdr:cNvPr id="13" name="グループ化 12">
          <a:extLst>
            <a:ext uri="{FF2B5EF4-FFF2-40B4-BE49-F238E27FC236}">
              <a16:creationId xmlns:a16="http://schemas.microsoft.com/office/drawing/2014/main" id="{3D947E51-2ECE-74EC-499E-A48B1644AE55}"/>
            </a:ext>
          </a:extLst>
        </xdr:cNvPr>
        <xdr:cNvGrpSpPr/>
      </xdr:nvGrpSpPr>
      <xdr:grpSpPr>
        <a:xfrm>
          <a:off x="15838346" y="514352"/>
          <a:ext cx="3392633" cy="3343272"/>
          <a:chOff x="15781196" y="523877"/>
          <a:chExt cx="3392633" cy="3343272"/>
        </a:xfrm>
      </xdr:grpSpPr>
      <xdr:sp macro="" textlink="">
        <xdr:nvSpPr>
          <xdr:cNvPr id="22" name="正方形/長方形 21">
            <a:extLst>
              <a:ext uri="{FF2B5EF4-FFF2-40B4-BE49-F238E27FC236}">
                <a16:creationId xmlns:a16="http://schemas.microsoft.com/office/drawing/2014/main" id="{CBE81173-D441-EFB8-5EE9-4E8D6464AB04}"/>
              </a:ext>
            </a:extLst>
          </xdr:cNvPr>
          <xdr:cNvSpPr/>
        </xdr:nvSpPr>
        <xdr:spPr>
          <a:xfrm>
            <a:off x="15781196" y="523877"/>
            <a:ext cx="3392633" cy="1483610"/>
          </a:xfrm>
          <a:prstGeom prst="rect">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１．社会保険適用促進手当は、標準報酬月額には算入しないが、</a:t>
            </a:r>
            <a:r>
              <a:rPr kumimoji="1" lang="ja-JP" altLang="en-US" sz="11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税計算の年収には算入する</a:t>
            </a:r>
            <a:r>
              <a:rPr kumimoji="1" lang="ja-JP" altLang="en-US" sz="1100" b="1" i="0" u="none" strike="noStrike" kern="0" cap="none" spc="0" normalizeH="0" baseline="0" noProof="0">
                <a:ln>
                  <a:noFill/>
                </a:ln>
                <a:solidFill>
                  <a:schemeClr val="tx1"/>
                </a:solidFill>
                <a:effectLst/>
                <a:uLnTx/>
                <a:uFillTx/>
                <a:latin typeface="Calibri"/>
                <a:ea typeface="ＭＳ Ｐゴシック" panose="020B0600070205080204" pitchFamily="50" charset="-128"/>
                <a:cs typeface="+mn-cs"/>
              </a:rPr>
              <a:t>（対応済み）。</a:t>
            </a:r>
            <a:endParaRPr kumimoji="1" lang="en-US" altLang="ja-JP" sz="1100" b="1" i="0" u="none" strike="noStrike" kern="0" cap="none" spc="0" normalizeH="0" baseline="0" noProof="0">
              <a:ln>
                <a:noFill/>
              </a:ln>
              <a:solidFill>
                <a:schemeClr val="tx1"/>
              </a:solidFill>
              <a:effectLst/>
              <a:uLnTx/>
              <a:uFillTx/>
              <a:latin typeface="Calibri"/>
              <a:ea typeface="ＭＳ Ｐゴシック" panose="020B0600070205080204" pitchFamily="50" charset="-128"/>
              <a:cs typeface="+mn-cs"/>
            </a:endParaRPr>
          </a:p>
          <a:p>
            <a:r>
              <a:rPr kumimoji="1" lang="ja-JP" altLang="en-US" sz="1100" b="1">
                <a:effectLst/>
                <a:latin typeface="+mn-lt"/>
                <a:ea typeface="+mn-ea"/>
                <a:cs typeface="+mn-cs"/>
              </a:rPr>
              <a:t>２．</a:t>
            </a:r>
            <a:r>
              <a:rPr kumimoji="1" lang="ja-JP" altLang="ja-JP" sz="1100" b="1">
                <a:effectLst/>
                <a:latin typeface="+mn-lt"/>
                <a:ea typeface="+mn-ea"/>
                <a:cs typeface="+mn-cs"/>
              </a:rPr>
              <a:t>社会保険適用促進手当は、標準報酬月額が</a:t>
            </a:r>
            <a:r>
              <a:rPr kumimoji="1" lang="en-US" altLang="ja-JP" sz="1100" b="1">
                <a:effectLst/>
                <a:latin typeface="+mn-lt"/>
                <a:ea typeface="+mn-ea"/>
                <a:cs typeface="+mn-cs"/>
              </a:rPr>
              <a:t>104</a:t>
            </a:r>
            <a:r>
              <a:rPr kumimoji="1" lang="ja-JP" altLang="ja-JP" sz="1100" b="1">
                <a:effectLst/>
                <a:latin typeface="+mn-lt"/>
                <a:ea typeface="+mn-ea"/>
                <a:cs typeface="+mn-cs"/>
              </a:rPr>
              <a:t>，</a:t>
            </a:r>
            <a:r>
              <a:rPr kumimoji="1" lang="en-US" altLang="ja-JP" sz="1100" b="1">
                <a:effectLst/>
                <a:latin typeface="+mn-lt"/>
                <a:ea typeface="+mn-ea"/>
                <a:cs typeface="+mn-cs"/>
              </a:rPr>
              <a:t>000</a:t>
            </a:r>
            <a:r>
              <a:rPr kumimoji="1" lang="ja-JP" altLang="ja-JP" sz="1100" b="1">
                <a:effectLst/>
                <a:latin typeface="+mn-lt"/>
                <a:ea typeface="+mn-ea"/>
                <a:cs typeface="+mn-cs"/>
              </a:rPr>
              <a:t>円までは社会保険の計算から除外、</a:t>
            </a:r>
            <a:r>
              <a:rPr kumimoji="1" lang="ja-JP" altLang="en-US" sz="1100" b="1">
                <a:effectLst/>
                <a:latin typeface="+mn-lt"/>
                <a:ea typeface="+mn-ea"/>
                <a:cs typeface="+mn-cs"/>
              </a:rPr>
              <a:t>ただし</a:t>
            </a:r>
            <a:r>
              <a:rPr kumimoji="1" lang="ja-JP" altLang="ja-JP" sz="1100" b="1">
                <a:effectLst/>
                <a:latin typeface="+mn-lt"/>
                <a:ea typeface="+mn-ea"/>
                <a:cs typeface="+mn-cs"/>
              </a:rPr>
              <a:t>超えると算入される</a:t>
            </a:r>
            <a:r>
              <a:rPr kumimoji="1" lang="ja-JP" altLang="en-US" sz="1100" b="1">
                <a:effectLst/>
                <a:latin typeface="+mn-lt"/>
                <a:ea typeface="+mn-ea"/>
                <a:cs typeface="+mn-cs"/>
              </a:rPr>
              <a:t>（対応済み）。</a:t>
            </a:r>
            <a:endParaRPr kumimoji="1" lang="en-US" altLang="ja-JP" sz="1100" b="1">
              <a:effectLst/>
              <a:latin typeface="+mn-lt"/>
              <a:ea typeface="+mn-ea"/>
              <a:cs typeface="+mn-cs"/>
            </a:endParaRPr>
          </a:p>
          <a:p>
            <a:r>
              <a:rPr kumimoji="1" lang="ja-JP" altLang="en-US" sz="1100" b="1" i="0" baseline="0">
                <a:effectLst/>
                <a:latin typeface="+mn-lt"/>
                <a:ea typeface="+mn-ea"/>
                <a:cs typeface="+mn-cs"/>
              </a:rPr>
              <a:t>３．</a:t>
            </a:r>
            <a:r>
              <a:rPr kumimoji="1" lang="ja-JP" altLang="ja-JP" sz="1100" b="1" i="0" baseline="0">
                <a:effectLst/>
                <a:latin typeface="+mn-lt"/>
                <a:ea typeface="+mn-ea"/>
                <a:cs typeface="+mn-cs"/>
              </a:rPr>
              <a:t>社会保険適用促進手当</a:t>
            </a:r>
            <a:r>
              <a:rPr kumimoji="1" lang="ja-JP" altLang="en-US" sz="1100" b="1" i="0" baseline="0">
                <a:effectLst/>
                <a:latin typeface="+mn-lt"/>
                <a:ea typeface="+mn-ea"/>
                <a:cs typeface="+mn-cs"/>
              </a:rPr>
              <a:t>は、社会保険料を超えたときの</a:t>
            </a:r>
            <a:r>
              <a:rPr kumimoji="1" lang="ja-JP" altLang="en-US" sz="1100" b="1" i="0" baseline="0">
                <a:solidFill>
                  <a:srgbClr val="FF0000"/>
                </a:solidFill>
                <a:effectLst/>
                <a:latin typeface="+mn-lt"/>
                <a:ea typeface="+mn-ea"/>
                <a:cs typeface="+mn-cs"/>
              </a:rPr>
              <a:t>超過分は税計算に算入する</a:t>
            </a:r>
            <a:r>
              <a:rPr kumimoji="1" lang="ja-JP" altLang="en-US" sz="1100" b="1" i="0" baseline="0">
                <a:solidFill>
                  <a:schemeClr val="tx1"/>
                </a:solidFill>
                <a:effectLst/>
                <a:latin typeface="+mn-lt"/>
                <a:ea typeface="+mn-ea"/>
                <a:cs typeface="+mn-cs"/>
              </a:rPr>
              <a:t>（不対応）。</a:t>
            </a:r>
            <a:endParaRPr kumimoji="1" lang="ja-JP" altLang="en-US" sz="1100" b="1" i="0" u="none" strike="noStrike" kern="0" cap="none" spc="0" normalizeH="0" baseline="0" noProof="0">
              <a:ln>
                <a:noFill/>
              </a:ln>
              <a:solidFill>
                <a:schemeClr val="tx1"/>
              </a:solidFill>
              <a:effectLst/>
              <a:uLnTx/>
              <a:uFillTx/>
              <a:latin typeface="Calibri"/>
              <a:ea typeface="ＭＳ Ｐゴシック" panose="020B0600070205080204" pitchFamily="50" charset="-128"/>
              <a:cs typeface="+mn-cs"/>
            </a:endParaRPr>
          </a:p>
        </xdr:txBody>
      </xdr:sp>
      <xdr:sp macro="" textlink="">
        <xdr:nvSpPr>
          <xdr:cNvPr id="10" name="矢印: 右カーブ 9">
            <a:extLst>
              <a:ext uri="{FF2B5EF4-FFF2-40B4-BE49-F238E27FC236}">
                <a16:creationId xmlns:a16="http://schemas.microsoft.com/office/drawing/2014/main" id="{B082EE7C-D830-9F88-A2A7-F3532B1E4DD6}"/>
              </a:ext>
            </a:extLst>
          </xdr:cNvPr>
          <xdr:cNvSpPr/>
        </xdr:nvSpPr>
        <xdr:spPr>
          <a:xfrm>
            <a:off x="15992475" y="1952624"/>
            <a:ext cx="666750" cy="1914525"/>
          </a:xfrm>
          <a:prstGeom prst="curvedRightArrow">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16</xdr:col>
      <xdr:colOff>114300</xdr:colOff>
      <xdr:row>8</xdr:row>
      <xdr:rowOff>800100</xdr:rowOff>
    </xdr:from>
    <xdr:to>
      <xdr:col>16</xdr:col>
      <xdr:colOff>1806283</xdr:colOff>
      <xdr:row>11</xdr:row>
      <xdr:rowOff>146338</xdr:rowOff>
    </xdr:to>
    <xdr:grpSp>
      <xdr:nvGrpSpPr>
        <xdr:cNvPr id="11" name="グループ化 10">
          <a:extLst>
            <a:ext uri="{FF2B5EF4-FFF2-40B4-BE49-F238E27FC236}">
              <a16:creationId xmlns:a16="http://schemas.microsoft.com/office/drawing/2014/main" id="{43F12F14-77C1-48FB-9312-652582445A78}"/>
            </a:ext>
          </a:extLst>
        </xdr:cNvPr>
        <xdr:cNvGrpSpPr/>
      </xdr:nvGrpSpPr>
      <xdr:grpSpPr>
        <a:xfrm>
          <a:off x="16706850" y="3095625"/>
          <a:ext cx="1691983" cy="479713"/>
          <a:chOff x="14841682" y="5221430"/>
          <a:chExt cx="1359475" cy="320386"/>
        </a:xfrm>
      </xdr:grpSpPr>
      <xdr:sp macro="" textlink="">
        <xdr:nvSpPr>
          <xdr:cNvPr id="12" name="正方形/長方形 11">
            <a:extLst>
              <a:ext uri="{FF2B5EF4-FFF2-40B4-BE49-F238E27FC236}">
                <a16:creationId xmlns:a16="http://schemas.microsoft.com/office/drawing/2014/main" id="{2047C004-E27A-8A9B-2FA8-4560E7C2C8FD}"/>
              </a:ext>
            </a:extLst>
          </xdr:cNvPr>
          <xdr:cNvSpPr/>
        </xdr:nvSpPr>
        <xdr:spPr>
          <a:xfrm>
            <a:off x="14980225" y="5221430"/>
            <a:ext cx="1220932" cy="320386"/>
          </a:xfrm>
          <a:prstGeom prst="rect">
            <a:avLst/>
          </a:prstGeom>
          <a:solidFill>
            <a:sysClr val="window" lastClr="FFFFFF"/>
          </a:solidFill>
          <a:ln w="25400" cap="flat" cmpd="sng" algn="ctr">
            <a:solidFill>
              <a:srgbClr val="0000FF"/>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新契約の給与の詳細です！</a:t>
            </a:r>
          </a:p>
        </xdr:txBody>
      </xdr:sp>
      <xdr:sp macro="" textlink="">
        <xdr:nvSpPr>
          <xdr:cNvPr id="13" name="矢印: 左 12">
            <a:extLst>
              <a:ext uri="{FF2B5EF4-FFF2-40B4-BE49-F238E27FC236}">
                <a16:creationId xmlns:a16="http://schemas.microsoft.com/office/drawing/2014/main" id="{8F5AC12B-D520-7377-3F5D-A273D0F438E8}"/>
              </a:ext>
            </a:extLst>
          </xdr:cNvPr>
          <xdr:cNvSpPr/>
        </xdr:nvSpPr>
        <xdr:spPr>
          <a:xfrm>
            <a:off x="14841682" y="5273386"/>
            <a:ext cx="138545" cy="207818"/>
          </a:xfrm>
          <a:prstGeom prst="leftArrow">
            <a:avLst/>
          </a:prstGeom>
          <a:solidFill>
            <a:srgbClr val="0000FF"/>
          </a:solidFill>
          <a:ln w="25400" cap="flat" cmpd="sng" algn="ctr">
            <a:solidFill>
              <a:srgbClr val="0000FF"/>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grpSp>
    <xdr:clientData/>
  </xdr:twoCellAnchor>
  <xdr:twoCellAnchor>
    <xdr:from>
      <xdr:col>11</xdr:col>
      <xdr:colOff>740784</xdr:colOff>
      <xdr:row>0</xdr:row>
      <xdr:rowOff>150667</xdr:rowOff>
    </xdr:from>
    <xdr:to>
      <xdr:col>15</xdr:col>
      <xdr:colOff>693159</xdr:colOff>
      <xdr:row>1</xdr:row>
      <xdr:rowOff>131617</xdr:rowOff>
    </xdr:to>
    <xdr:sp macro="" textlink="">
      <xdr:nvSpPr>
        <xdr:cNvPr id="17" name="四角形: 角を丸くする 16">
          <a:extLst>
            <a:ext uri="{FF2B5EF4-FFF2-40B4-BE49-F238E27FC236}">
              <a16:creationId xmlns:a16="http://schemas.microsoft.com/office/drawing/2014/main" id="{534A497A-D997-4B07-835E-021B52289D11}"/>
            </a:ext>
          </a:extLst>
        </xdr:cNvPr>
        <xdr:cNvSpPr/>
      </xdr:nvSpPr>
      <xdr:spPr>
        <a:xfrm>
          <a:off x="12199359" y="150667"/>
          <a:ext cx="4152900" cy="371475"/>
        </a:xfrm>
        <a:prstGeom prst="roundRect">
          <a:avLst/>
        </a:prstGeom>
        <a:solidFill>
          <a:srgbClr val="3333FF"/>
        </a:solidFill>
        <a:ln w="25400" cap="flat" cmpd="sng" algn="ctr">
          <a:solidFill>
            <a:srgbClr val="0066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社会保険加入者</a:t>
          </a:r>
          <a:r>
            <a:rPr kumimoji="1" lang="ja-JP" altLang="en-US" sz="1600" b="0" i="0" u="none" strike="noStrike" kern="0" cap="none" spc="0" normalizeH="0" baseline="0" noProof="0">
              <a:ln>
                <a:noFill/>
              </a:ln>
              <a:solidFill>
                <a:srgbClr val="99FFCC"/>
              </a:solidFill>
              <a:effectLst/>
              <a:uLnTx/>
              <a:uFillTx/>
              <a:latin typeface="Calibri"/>
              <a:ea typeface="ＭＳ Ｐゴシック" panose="020B0600070205080204" pitchFamily="50" charset="-128"/>
              <a:cs typeface="+mn-cs"/>
            </a:rPr>
            <a:t>１０１人以上</a:t>
          </a:r>
          <a:r>
            <a:rPr kumimoji="1" lang="ja-JP" altLang="en-US" sz="16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の企業が対象！</a:t>
          </a:r>
        </a:p>
      </xdr:txBody>
    </xdr:sp>
    <xdr:clientData/>
  </xdr:twoCellAnchor>
  <xdr:twoCellAnchor>
    <xdr:from>
      <xdr:col>8</xdr:col>
      <xdr:colOff>26409</xdr:colOff>
      <xdr:row>0</xdr:row>
      <xdr:rowOff>200025</xdr:rowOff>
    </xdr:from>
    <xdr:to>
      <xdr:col>11</xdr:col>
      <xdr:colOff>552450</xdr:colOff>
      <xdr:row>1</xdr:row>
      <xdr:rowOff>190500</xdr:rowOff>
    </xdr:to>
    <xdr:sp macro="" textlink="">
      <xdr:nvSpPr>
        <xdr:cNvPr id="18" name="四角形: 角を丸くする 17">
          <a:extLst>
            <a:ext uri="{FF2B5EF4-FFF2-40B4-BE49-F238E27FC236}">
              <a16:creationId xmlns:a16="http://schemas.microsoft.com/office/drawing/2014/main" id="{4EA5F0B1-7C86-0FAF-1EC2-5B8EA9B587F8}"/>
            </a:ext>
          </a:extLst>
        </xdr:cNvPr>
        <xdr:cNvSpPr/>
      </xdr:nvSpPr>
      <xdr:spPr>
        <a:xfrm>
          <a:off x="7713084" y="200025"/>
          <a:ext cx="4297941" cy="381000"/>
        </a:xfrm>
        <a:prstGeom prst="roundRect">
          <a:avLst/>
        </a:prstGeom>
        <a:solidFill>
          <a:srgbClr val="FF00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a:t>手当等支給メニュー</a:t>
          </a:r>
          <a:r>
            <a:rPr kumimoji="1" lang="ja-JP" altLang="ja-JP" sz="1800" b="1">
              <a:solidFill>
                <a:schemeClr val="lt1"/>
              </a:solidFill>
              <a:effectLst/>
              <a:latin typeface="+mn-lt"/>
              <a:ea typeface="+mn-ea"/>
              <a:cs typeface="+mn-cs"/>
            </a:rPr>
            <a:t>（１・２年目ｏｒ１年目）</a:t>
          </a:r>
          <a:endParaRPr lang="ja-JP" altLang="ja-JP" sz="1800">
            <a:effectLst/>
          </a:endParaRPr>
        </a:p>
      </xdr:txBody>
    </xdr:sp>
    <xdr:clientData/>
  </xdr:twoCellAnchor>
  <xdr:twoCellAnchor>
    <xdr:from>
      <xdr:col>3</xdr:col>
      <xdr:colOff>238125</xdr:colOff>
      <xdr:row>0</xdr:row>
      <xdr:rowOff>200025</xdr:rowOff>
    </xdr:from>
    <xdr:to>
      <xdr:col>7</xdr:col>
      <xdr:colOff>1083684</xdr:colOff>
      <xdr:row>1</xdr:row>
      <xdr:rowOff>215612</xdr:rowOff>
    </xdr:to>
    <xdr:sp macro="" textlink="">
      <xdr:nvSpPr>
        <xdr:cNvPr id="19" name="正方形/長方形 18">
          <a:extLst>
            <a:ext uri="{FF2B5EF4-FFF2-40B4-BE49-F238E27FC236}">
              <a16:creationId xmlns:a16="http://schemas.microsoft.com/office/drawing/2014/main" id="{80FA83C7-094D-6B63-C270-85564AA0737B}"/>
            </a:ext>
          </a:extLst>
        </xdr:cNvPr>
        <xdr:cNvSpPr/>
      </xdr:nvSpPr>
      <xdr:spPr>
        <a:xfrm>
          <a:off x="2276475" y="200025"/>
          <a:ext cx="5236584" cy="406112"/>
        </a:xfrm>
        <a:prstGeom prst="rect">
          <a:avLst/>
        </a:prstGeom>
        <a:solidFill>
          <a:srgbClr val="0000FF"/>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600" u="sng">
              <a:solidFill>
                <a:schemeClr val="bg1"/>
              </a:solidFill>
            </a:rPr>
            <a:t>キャリアアップ助成金（社会保険適用時処遇改善コース）</a:t>
          </a:r>
          <a:endParaRPr kumimoji="1" lang="en-US" altLang="ja-JP" sz="1600" u="sng">
            <a:solidFill>
              <a:schemeClr val="bg1"/>
            </a:solidFill>
          </a:endParaRPr>
        </a:p>
      </xdr:txBody>
    </xdr:sp>
    <xdr:clientData/>
  </xdr:twoCellAnchor>
  <xdr:twoCellAnchor>
    <xdr:from>
      <xdr:col>1</xdr:col>
      <xdr:colOff>95250</xdr:colOff>
      <xdr:row>0</xdr:row>
      <xdr:rowOff>238125</xdr:rowOff>
    </xdr:from>
    <xdr:to>
      <xdr:col>2</xdr:col>
      <xdr:colOff>1221797</xdr:colOff>
      <xdr:row>1</xdr:row>
      <xdr:rowOff>131619</xdr:rowOff>
    </xdr:to>
    <xdr:sp macro="" textlink="">
      <xdr:nvSpPr>
        <xdr:cNvPr id="4" name="矢印: 五方向 3">
          <a:hlinkClick xmlns:r="http://schemas.openxmlformats.org/officeDocument/2006/relationships" r:id="rId1"/>
          <a:extLst>
            <a:ext uri="{FF2B5EF4-FFF2-40B4-BE49-F238E27FC236}">
              <a16:creationId xmlns:a16="http://schemas.microsoft.com/office/drawing/2014/main" id="{4B1C3261-2D8D-48C4-A425-9AD42376197B}"/>
            </a:ext>
          </a:extLst>
        </xdr:cNvPr>
        <xdr:cNvSpPr/>
      </xdr:nvSpPr>
      <xdr:spPr>
        <a:xfrm flipH="1">
          <a:off x="295275" y="238125"/>
          <a:ext cx="1583747" cy="284019"/>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twoCellAnchor>
    <xdr:from>
      <xdr:col>16</xdr:col>
      <xdr:colOff>133350</xdr:colOff>
      <xdr:row>12</xdr:row>
      <xdr:rowOff>0</xdr:rowOff>
    </xdr:from>
    <xdr:to>
      <xdr:col>16</xdr:col>
      <xdr:colOff>1872959</xdr:colOff>
      <xdr:row>13</xdr:row>
      <xdr:rowOff>174912</xdr:rowOff>
    </xdr:to>
    <xdr:grpSp>
      <xdr:nvGrpSpPr>
        <xdr:cNvPr id="26" name="グループ化 25">
          <a:extLst>
            <a:ext uri="{FF2B5EF4-FFF2-40B4-BE49-F238E27FC236}">
              <a16:creationId xmlns:a16="http://schemas.microsoft.com/office/drawing/2014/main" id="{5AEA89EF-E1AB-457B-8DDA-687EE1DA97C7}"/>
            </a:ext>
          </a:extLst>
        </xdr:cNvPr>
        <xdr:cNvGrpSpPr/>
      </xdr:nvGrpSpPr>
      <xdr:grpSpPr>
        <a:xfrm>
          <a:off x="16725900" y="3733800"/>
          <a:ext cx="1739609" cy="479712"/>
          <a:chOff x="14789577" y="5215071"/>
          <a:chExt cx="1359477" cy="320386"/>
        </a:xfrm>
      </xdr:grpSpPr>
      <xdr:sp macro="" textlink="">
        <xdr:nvSpPr>
          <xdr:cNvPr id="27" name="正方形/長方形 26">
            <a:extLst>
              <a:ext uri="{FF2B5EF4-FFF2-40B4-BE49-F238E27FC236}">
                <a16:creationId xmlns:a16="http://schemas.microsoft.com/office/drawing/2014/main" id="{D7734A0A-FFEA-8D25-446D-B312B13631C7}"/>
              </a:ext>
            </a:extLst>
          </xdr:cNvPr>
          <xdr:cNvSpPr/>
        </xdr:nvSpPr>
        <xdr:spPr>
          <a:xfrm>
            <a:off x="14928122" y="5215071"/>
            <a:ext cx="1220932" cy="320386"/>
          </a:xfrm>
          <a:prstGeom prst="rect">
            <a:avLst/>
          </a:prstGeom>
          <a:ln>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b="1"/>
              <a:t>ご提案したい新契約（お勧め）</a:t>
            </a:r>
          </a:p>
        </xdr:txBody>
      </xdr:sp>
      <xdr:sp macro="" textlink="">
        <xdr:nvSpPr>
          <xdr:cNvPr id="28" name="矢印: 左 27">
            <a:extLst>
              <a:ext uri="{FF2B5EF4-FFF2-40B4-BE49-F238E27FC236}">
                <a16:creationId xmlns:a16="http://schemas.microsoft.com/office/drawing/2014/main" id="{1460738B-A457-7014-243E-31B099187742}"/>
              </a:ext>
            </a:extLst>
          </xdr:cNvPr>
          <xdr:cNvSpPr/>
        </xdr:nvSpPr>
        <xdr:spPr>
          <a:xfrm>
            <a:off x="14789577" y="5260659"/>
            <a:ext cx="138545" cy="207818"/>
          </a:xfrm>
          <a:prstGeom prst="leftArrow">
            <a:avLst/>
          </a:prstGeom>
          <a:solidFill>
            <a:srgbClr val="0000FF"/>
          </a:solidFill>
          <a:ln>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17</xdr:col>
      <xdr:colOff>190500</xdr:colOff>
      <xdr:row>17</xdr:row>
      <xdr:rowOff>276225</xdr:rowOff>
    </xdr:from>
    <xdr:to>
      <xdr:col>18</xdr:col>
      <xdr:colOff>786882</xdr:colOff>
      <xdr:row>21</xdr:row>
      <xdr:rowOff>57138</xdr:rowOff>
    </xdr:to>
    <xdr:grpSp>
      <xdr:nvGrpSpPr>
        <xdr:cNvPr id="32" name="グループ化 31">
          <a:extLst>
            <a:ext uri="{FF2B5EF4-FFF2-40B4-BE49-F238E27FC236}">
              <a16:creationId xmlns:a16="http://schemas.microsoft.com/office/drawing/2014/main" id="{623BC0C9-B1FD-4B6E-B227-AD2157C938C3}"/>
            </a:ext>
          </a:extLst>
        </xdr:cNvPr>
        <xdr:cNvGrpSpPr/>
      </xdr:nvGrpSpPr>
      <xdr:grpSpPr>
        <a:xfrm>
          <a:off x="18745200" y="5534025"/>
          <a:ext cx="1282182" cy="1000113"/>
          <a:chOff x="14752357" y="5094203"/>
          <a:chExt cx="1002005" cy="667946"/>
        </a:xfrm>
      </xdr:grpSpPr>
      <xdr:sp macro="" textlink="">
        <xdr:nvSpPr>
          <xdr:cNvPr id="33" name="正方形/長方形 32">
            <a:extLst>
              <a:ext uri="{FF2B5EF4-FFF2-40B4-BE49-F238E27FC236}">
                <a16:creationId xmlns:a16="http://schemas.microsoft.com/office/drawing/2014/main" id="{0DC5B0B9-ABCA-966F-763B-895A4B8EDC1E}"/>
              </a:ext>
            </a:extLst>
          </xdr:cNvPr>
          <xdr:cNvSpPr/>
        </xdr:nvSpPr>
        <xdr:spPr>
          <a:xfrm>
            <a:off x="14890905" y="5094203"/>
            <a:ext cx="863457" cy="667946"/>
          </a:xfrm>
          <a:prstGeom prst="rect">
            <a:avLst/>
          </a:prstGeom>
          <a:ln>
            <a:solidFill>
              <a:srgbClr val="FFC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200" b="1">
                <a:solidFill>
                  <a:srgbClr val="FF0000"/>
                </a:solidFill>
              </a:rPr>
              <a:t>指標は、個別に移動して提案して下さい！</a:t>
            </a:r>
          </a:p>
        </xdr:txBody>
      </xdr:sp>
      <xdr:sp macro="" textlink="">
        <xdr:nvSpPr>
          <xdr:cNvPr id="34" name="矢印: 左 33">
            <a:extLst>
              <a:ext uri="{FF2B5EF4-FFF2-40B4-BE49-F238E27FC236}">
                <a16:creationId xmlns:a16="http://schemas.microsoft.com/office/drawing/2014/main" id="{C481ADA1-5227-8686-F46F-F6BCFEB9583E}"/>
              </a:ext>
            </a:extLst>
          </xdr:cNvPr>
          <xdr:cNvSpPr/>
        </xdr:nvSpPr>
        <xdr:spPr>
          <a:xfrm>
            <a:off x="14752357" y="5324274"/>
            <a:ext cx="138545" cy="207817"/>
          </a:xfrm>
          <a:prstGeom prst="leftArrow">
            <a:avLst/>
          </a:prstGeom>
          <a:solidFill>
            <a:srgbClr val="FFFF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1000125</xdr:colOff>
      <xdr:row>13</xdr:row>
      <xdr:rowOff>0</xdr:rowOff>
    </xdr:from>
    <xdr:to>
      <xdr:col>12</xdr:col>
      <xdr:colOff>254000</xdr:colOff>
      <xdr:row>13</xdr:row>
      <xdr:rowOff>142875</xdr:rowOff>
    </xdr:to>
    <xdr:sp macro="" textlink="">
      <xdr:nvSpPr>
        <xdr:cNvPr id="2" name="矢印: 左右 1">
          <a:extLst>
            <a:ext uri="{FF2B5EF4-FFF2-40B4-BE49-F238E27FC236}">
              <a16:creationId xmlns:a16="http://schemas.microsoft.com/office/drawing/2014/main" id="{8DDFD811-0E44-4092-80DC-831BE97BFE77}"/>
            </a:ext>
          </a:extLst>
        </xdr:cNvPr>
        <xdr:cNvSpPr/>
      </xdr:nvSpPr>
      <xdr:spPr>
        <a:xfrm>
          <a:off x="11239500" y="4105275"/>
          <a:ext cx="368300" cy="142875"/>
        </a:xfrm>
        <a:prstGeom prst="leftRightArrow">
          <a:avLst/>
        </a:prstGeom>
        <a:solidFill>
          <a:schemeClr val="accent4">
            <a:lumMod val="75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142874</xdr:colOff>
      <xdr:row>4</xdr:row>
      <xdr:rowOff>77932</xdr:rowOff>
    </xdr:from>
    <xdr:to>
      <xdr:col>17</xdr:col>
      <xdr:colOff>510886</xdr:colOff>
      <xdr:row>5</xdr:row>
      <xdr:rowOff>15874</xdr:rowOff>
    </xdr:to>
    <xdr:sp macro="" textlink="">
      <xdr:nvSpPr>
        <xdr:cNvPr id="4" name="矢印: 右 3">
          <a:extLst>
            <a:ext uri="{FF2B5EF4-FFF2-40B4-BE49-F238E27FC236}">
              <a16:creationId xmlns:a16="http://schemas.microsoft.com/office/drawing/2014/main" id="{1D616E66-7966-4EF0-A3B0-7D24D1AC28B5}"/>
            </a:ext>
          </a:extLst>
        </xdr:cNvPr>
        <xdr:cNvSpPr/>
      </xdr:nvSpPr>
      <xdr:spPr>
        <a:xfrm>
          <a:off x="15716249" y="1449532"/>
          <a:ext cx="1453862" cy="318942"/>
        </a:xfrm>
        <a:prstGeom prst="rightArrow">
          <a:avLst/>
        </a:prstGeom>
        <a:solidFill>
          <a:srgbClr val="0000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142874</xdr:colOff>
      <xdr:row>4</xdr:row>
      <xdr:rowOff>34636</xdr:rowOff>
    </xdr:from>
    <xdr:to>
      <xdr:col>29</xdr:col>
      <xdr:colOff>325437</xdr:colOff>
      <xdr:row>5</xdr:row>
      <xdr:rowOff>15874</xdr:rowOff>
    </xdr:to>
    <xdr:sp macro="" textlink="">
      <xdr:nvSpPr>
        <xdr:cNvPr id="5" name="矢印: 右 4">
          <a:extLst>
            <a:ext uri="{FF2B5EF4-FFF2-40B4-BE49-F238E27FC236}">
              <a16:creationId xmlns:a16="http://schemas.microsoft.com/office/drawing/2014/main" id="{2376EF7D-DF63-496F-A0DA-E3A29D0BCEF4}"/>
            </a:ext>
          </a:extLst>
        </xdr:cNvPr>
        <xdr:cNvSpPr/>
      </xdr:nvSpPr>
      <xdr:spPr>
        <a:xfrm>
          <a:off x="30984824" y="1406236"/>
          <a:ext cx="1316038" cy="362238"/>
        </a:xfrm>
        <a:prstGeom prst="rightArrow">
          <a:avLst/>
        </a:prstGeom>
        <a:solidFill>
          <a:srgbClr val="0000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142874</xdr:colOff>
      <xdr:row>4</xdr:row>
      <xdr:rowOff>51955</xdr:rowOff>
    </xdr:from>
    <xdr:to>
      <xdr:col>35</xdr:col>
      <xdr:colOff>1368136</xdr:colOff>
      <xdr:row>5</xdr:row>
      <xdr:rowOff>15875</xdr:rowOff>
    </xdr:to>
    <xdr:sp macro="" textlink="">
      <xdr:nvSpPr>
        <xdr:cNvPr id="6" name="矢印: 右 5">
          <a:extLst>
            <a:ext uri="{FF2B5EF4-FFF2-40B4-BE49-F238E27FC236}">
              <a16:creationId xmlns:a16="http://schemas.microsoft.com/office/drawing/2014/main" id="{2DAC64DD-3753-45F8-BBD8-EF9A8132B197}"/>
            </a:ext>
          </a:extLst>
        </xdr:cNvPr>
        <xdr:cNvSpPr/>
      </xdr:nvSpPr>
      <xdr:spPr>
        <a:xfrm>
          <a:off x="38957249" y="1423555"/>
          <a:ext cx="1225262" cy="344920"/>
        </a:xfrm>
        <a:prstGeom prst="rightArrow">
          <a:avLst/>
        </a:prstGeom>
        <a:solidFill>
          <a:srgbClr val="0000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554182</xdr:colOff>
      <xdr:row>1</xdr:row>
      <xdr:rowOff>112568</xdr:rowOff>
    </xdr:from>
    <xdr:to>
      <xdr:col>20</xdr:col>
      <xdr:colOff>995794</xdr:colOff>
      <xdr:row>2</xdr:row>
      <xdr:rowOff>199159</xdr:rowOff>
    </xdr:to>
    <xdr:grpSp>
      <xdr:nvGrpSpPr>
        <xdr:cNvPr id="8" name="グループ化 7">
          <a:extLst>
            <a:ext uri="{FF2B5EF4-FFF2-40B4-BE49-F238E27FC236}">
              <a16:creationId xmlns:a16="http://schemas.microsoft.com/office/drawing/2014/main" id="{ACD0F01D-F978-4725-A48C-6D87E68A7DAC}"/>
            </a:ext>
          </a:extLst>
        </xdr:cNvPr>
        <xdr:cNvGrpSpPr/>
      </xdr:nvGrpSpPr>
      <xdr:grpSpPr>
        <a:xfrm>
          <a:off x="16127557" y="303068"/>
          <a:ext cx="4508787" cy="572366"/>
          <a:chOff x="10096501" y="1853046"/>
          <a:chExt cx="4502725" cy="571500"/>
        </a:xfrm>
      </xdr:grpSpPr>
      <xdr:sp macro="" textlink="">
        <xdr:nvSpPr>
          <xdr:cNvPr id="9" name="正方形/長方形 8">
            <a:extLst>
              <a:ext uri="{FF2B5EF4-FFF2-40B4-BE49-F238E27FC236}">
                <a16:creationId xmlns:a16="http://schemas.microsoft.com/office/drawing/2014/main" id="{6657DBA5-BD53-58F0-0145-072470745DCA}"/>
              </a:ext>
            </a:extLst>
          </xdr:cNvPr>
          <xdr:cNvSpPr/>
        </xdr:nvSpPr>
        <xdr:spPr>
          <a:xfrm>
            <a:off x="10538113" y="1861705"/>
            <a:ext cx="4061113" cy="476250"/>
          </a:xfrm>
          <a:prstGeom prst="rect">
            <a:avLst/>
          </a:prstGeom>
          <a:solidFill>
            <a:srgbClr val="0000FF"/>
          </a:solidFill>
          <a:ln>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400">
                <a:solidFill>
                  <a:schemeClr val="lt1"/>
                </a:solidFill>
                <a:effectLst/>
                <a:latin typeface="+mn-lt"/>
                <a:ea typeface="+mn-ea"/>
                <a:cs typeface="+mn-cs"/>
              </a:rPr>
              <a:t>このシートの設計変更は制限させていただきます！</a:t>
            </a:r>
            <a:endParaRPr lang="ja-JP" altLang="ja-JP" sz="1400">
              <a:effectLst/>
            </a:endParaRPr>
          </a:p>
          <a:p>
            <a:pPr algn="l"/>
            <a:endParaRPr kumimoji="1" lang="ja-JP" altLang="en-US" sz="1400"/>
          </a:p>
        </xdr:txBody>
      </xdr:sp>
      <xdr:pic>
        <xdr:nvPicPr>
          <xdr:cNvPr id="10" name="図 9">
            <a:extLst>
              <a:ext uri="{FF2B5EF4-FFF2-40B4-BE49-F238E27FC236}">
                <a16:creationId xmlns:a16="http://schemas.microsoft.com/office/drawing/2014/main" id="{36AAE84F-6F1D-BED1-DAB4-FF74FA43BF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96501" y="1853046"/>
            <a:ext cx="470671" cy="5715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9</xdr:col>
      <xdr:colOff>1058573</xdr:colOff>
      <xdr:row>12</xdr:row>
      <xdr:rowOff>355022</xdr:rowOff>
    </xdr:from>
    <xdr:to>
      <xdr:col>10</xdr:col>
      <xdr:colOff>162358</xdr:colOff>
      <xdr:row>13</xdr:row>
      <xdr:rowOff>147204</xdr:rowOff>
    </xdr:to>
    <xdr:sp macro="" textlink="">
      <xdr:nvSpPr>
        <xdr:cNvPr id="13" name="矢印: 下 12">
          <a:extLst>
            <a:ext uri="{FF2B5EF4-FFF2-40B4-BE49-F238E27FC236}">
              <a16:creationId xmlns:a16="http://schemas.microsoft.com/office/drawing/2014/main" id="{9EB8E1F1-6632-4EF4-90E7-47519DB3C146}"/>
            </a:ext>
          </a:extLst>
        </xdr:cNvPr>
        <xdr:cNvSpPr/>
      </xdr:nvSpPr>
      <xdr:spPr>
        <a:xfrm>
          <a:off x="9231023" y="4088822"/>
          <a:ext cx="227735" cy="163657"/>
        </a:xfrm>
        <a:prstGeom prst="downArrow">
          <a:avLst/>
        </a:prstGeom>
        <a:solidFill>
          <a:srgbClr val="0000CC"/>
        </a:solid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551518</xdr:colOff>
      <xdr:row>8</xdr:row>
      <xdr:rowOff>121227</xdr:rowOff>
    </xdr:from>
    <xdr:to>
      <xdr:col>9</xdr:col>
      <xdr:colOff>218114</xdr:colOff>
      <xdr:row>13</xdr:row>
      <xdr:rowOff>233689</xdr:rowOff>
    </xdr:to>
    <xdr:grpSp>
      <xdr:nvGrpSpPr>
        <xdr:cNvPr id="16" name="グループ化 15">
          <a:extLst>
            <a:ext uri="{FF2B5EF4-FFF2-40B4-BE49-F238E27FC236}">
              <a16:creationId xmlns:a16="http://schemas.microsoft.com/office/drawing/2014/main" id="{CAC400DF-E995-466B-9ACA-B5DDCF1CC973}"/>
            </a:ext>
          </a:extLst>
        </xdr:cNvPr>
        <xdr:cNvGrpSpPr/>
      </xdr:nvGrpSpPr>
      <xdr:grpSpPr>
        <a:xfrm>
          <a:off x="5837893" y="2769177"/>
          <a:ext cx="2552671" cy="1569787"/>
          <a:chOff x="-968976" y="1294186"/>
          <a:chExt cx="3876105" cy="1312931"/>
        </a:xfrm>
      </xdr:grpSpPr>
      <xdr:sp macro="" textlink="">
        <xdr:nvSpPr>
          <xdr:cNvPr id="17" name="テキスト ボックス 16">
            <a:extLst>
              <a:ext uri="{FF2B5EF4-FFF2-40B4-BE49-F238E27FC236}">
                <a16:creationId xmlns:a16="http://schemas.microsoft.com/office/drawing/2014/main" id="{52824BF8-733C-9FB9-F17F-7283237CA7BD}"/>
              </a:ext>
            </a:extLst>
          </xdr:cNvPr>
          <xdr:cNvSpPr txBox="1"/>
        </xdr:nvSpPr>
        <xdr:spPr>
          <a:xfrm>
            <a:off x="1538993" y="1294186"/>
            <a:ext cx="1368136" cy="9090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a:t>※</a:t>
            </a:r>
            <a:r>
              <a:rPr kumimoji="1" lang="ja-JP" altLang="en-US" sz="1200" b="1"/>
              <a:t>このシートの入力セルは</a:t>
            </a:r>
            <a:r>
              <a:rPr kumimoji="1" lang="ja-JP" altLang="en-US" sz="1200" b="1">
                <a:solidFill>
                  <a:srgbClr val="FF0000"/>
                </a:solidFill>
              </a:rPr>
              <a:t>２ヵ所</a:t>
            </a:r>
            <a:r>
              <a:rPr kumimoji="1" lang="ja-JP" altLang="en-US" sz="1200" b="1"/>
              <a:t>です！</a:t>
            </a:r>
          </a:p>
        </xdr:txBody>
      </xdr:sp>
      <xdr:sp macro="" textlink="">
        <xdr:nvSpPr>
          <xdr:cNvPr id="18" name="矢印: 左 17">
            <a:extLst>
              <a:ext uri="{FF2B5EF4-FFF2-40B4-BE49-F238E27FC236}">
                <a16:creationId xmlns:a16="http://schemas.microsoft.com/office/drawing/2014/main" id="{1944B61D-0FBD-3203-C87E-62236B16E2CD}"/>
              </a:ext>
            </a:extLst>
          </xdr:cNvPr>
          <xdr:cNvSpPr/>
        </xdr:nvSpPr>
        <xdr:spPr>
          <a:xfrm rot="19264049">
            <a:off x="-968976" y="2406028"/>
            <a:ext cx="2794633" cy="2010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5</xdr:col>
      <xdr:colOff>675409</xdr:colOff>
      <xdr:row>12</xdr:row>
      <xdr:rowOff>17319</xdr:rowOff>
    </xdr:from>
    <xdr:to>
      <xdr:col>7</xdr:col>
      <xdr:colOff>367370</xdr:colOff>
      <xdr:row>13</xdr:row>
      <xdr:rowOff>319412</xdr:rowOff>
    </xdr:to>
    <xdr:grpSp>
      <xdr:nvGrpSpPr>
        <xdr:cNvPr id="21" name="グループ化 20">
          <a:extLst>
            <a:ext uri="{FF2B5EF4-FFF2-40B4-BE49-F238E27FC236}">
              <a16:creationId xmlns:a16="http://schemas.microsoft.com/office/drawing/2014/main" id="{09C5B2CA-86CA-4CE9-98B2-E6AE8E9623A2}"/>
            </a:ext>
          </a:extLst>
        </xdr:cNvPr>
        <xdr:cNvGrpSpPr/>
      </xdr:nvGrpSpPr>
      <xdr:grpSpPr>
        <a:xfrm>
          <a:off x="4971184" y="3751119"/>
          <a:ext cx="1568386" cy="673568"/>
          <a:chOff x="14980228" y="5221432"/>
          <a:chExt cx="1220932" cy="450435"/>
        </a:xfrm>
      </xdr:grpSpPr>
      <xdr:sp macro="" textlink="">
        <xdr:nvSpPr>
          <xdr:cNvPr id="22" name="正方形/長方形 21">
            <a:extLst>
              <a:ext uri="{FF2B5EF4-FFF2-40B4-BE49-F238E27FC236}">
                <a16:creationId xmlns:a16="http://schemas.microsoft.com/office/drawing/2014/main" id="{26985F02-D4DE-B88E-1DB9-F1A61CA1F921}"/>
              </a:ext>
            </a:extLst>
          </xdr:cNvPr>
          <xdr:cNvSpPr/>
        </xdr:nvSpPr>
        <xdr:spPr>
          <a:xfrm>
            <a:off x="14980228" y="5221432"/>
            <a:ext cx="1220932" cy="320386"/>
          </a:xfrm>
          <a:prstGeom prst="rect">
            <a:avLst/>
          </a:prstGeom>
          <a:ln>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b="1"/>
              <a:t>手当等支給メニューの契約時間を手入力！</a:t>
            </a:r>
          </a:p>
        </xdr:txBody>
      </xdr:sp>
      <xdr:sp macro="" textlink="">
        <xdr:nvSpPr>
          <xdr:cNvPr id="23" name="矢印: 左 22">
            <a:extLst>
              <a:ext uri="{FF2B5EF4-FFF2-40B4-BE49-F238E27FC236}">
                <a16:creationId xmlns:a16="http://schemas.microsoft.com/office/drawing/2014/main" id="{001EB655-C049-82BE-B21C-BB69710AF7FC}"/>
              </a:ext>
            </a:extLst>
          </xdr:cNvPr>
          <xdr:cNvSpPr/>
        </xdr:nvSpPr>
        <xdr:spPr>
          <a:xfrm rot="16200000">
            <a:off x="15566342" y="5491081"/>
            <a:ext cx="118403" cy="243170"/>
          </a:xfrm>
          <a:prstGeom prst="leftArrow">
            <a:avLst/>
          </a:prstGeom>
          <a:solidFill>
            <a:srgbClr val="0000FF"/>
          </a:solidFill>
          <a:ln>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5</xdr:col>
      <xdr:colOff>952501</xdr:colOff>
      <xdr:row>13</xdr:row>
      <xdr:rowOff>536863</xdr:rowOff>
    </xdr:from>
    <xdr:to>
      <xdr:col>7</xdr:col>
      <xdr:colOff>86591</xdr:colOff>
      <xdr:row>15</xdr:row>
      <xdr:rowOff>95250</xdr:rowOff>
    </xdr:to>
    <xdr:sp macro="" textlink="">
      <xdr:nvSpPr>
        <xdr:cNvPr id="24" name="楕円 23">
          <a:extLst>
            <a:ext uri="{FF2B5EF4-FFF2-40B4-BE49-F238E27FC236}">
              <a16:creationId xmlns:a16="http://schemas.microsoft.com/office/drawing/2014/main" id="{1E6ACCD0-B1FF-48B1-90EE-2535BF19C979}"/>
            </a:ext>
          </a:extLst>
        </xdr:cNvPr>
        <xdr:cNvSpPr/>
      </xdr:nvSpPr>
      <xdr:spPr>
        <a:xfrm>
          <a:off x="5256069" y="4658590"/>
          <a:ext cx="1004454" cy="510887"/>
        </a:xfrm>
        <a:prstGeom prst="ellipse">
          <a:avLst/>
        </a:prstGeom>
        <a:no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77929</xdr:colOff>
      <xdr:row>3</xdr:row>
      <xdr:rowOff>199160</xdr:rowOff>
    </xdr:from>
    <xdr:to>
      <xdr:col>8</xdr:col>
      <xdr:colOff>17317</xdr:colOff>
      <xdr:row>5</xdr:row>
      <xdr:rowOff>246580</xdr:rowOff>
    </xdr:to>
    <xdr:sp macro="" textlink="">
      <xdr:nvSpPr>
        <xdr:cNvPr id="25" name="四角形: 角を丸くする 24">
          <a:extLst>
            <a:ext uri="{FF2B5EF4-FFF2-40B4-BE49-F238E27FC236}">
              <a16:creationId xmlns:a16="http://schemas.microsoft.com/office/drawing/2014/main" id="{EA40293D-544D-4C4B-85E6-1356630BA67A}"/>
            </a:ext>
          </a:extLst>
        </xdr:cNvPr>
        <xdr:cNvSpPr/>
      </xdr:nvSpPr>
      <xdr:spPr>
        <a:xfrm>
          <a:off x="4381497" y="1125683"/>
          <a:ext cx="2926775" cy="878692"/>
        </a:xfrm>
        <a:prstGeom prst="roundRect">
          <a:avLst/>
        </a:prstGeom>
        <a:solidFill>
          <a:srgbClr val="FF66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t>手当等支給メニュー</a:t>
          </a:r>
          <a:endParaRPr kumimoji="1" lang="en-US" altLang="ja-JP" sz="1800"/>
        </a:p>
        <a:p>
          <a:pPr algn="ctr"/>
          <a:r>
            <a:rPr kumimoji="1" lang="ja-JP" altLang="en-US" sz="1800">
              <a:solidFill>
                <a:srgbClr val="FFFF00"/>
              </a:solidFill>
            </a:rPr>
            <a:t>（３年目</a:t>
          </a:r>
          <a:r>
            <a:rPr kumimoji="1" lang="en-US" altLang="ja-JP" sz="1800">
              <a:solidFill>
                <a:srgbClr val="FFFF00"/>
              </a:solidFill>
            </a:rPr>
            <a:t>or</a:t>
          </a:r>
          <a:r>
            <a:rPr kumimoji="1" lang="ja-JP" altLang="en-US" sz="1800">
              <a:solidFill>
                <a:srgbClr val="FFFF00"/>
              </a:solidFill>
            </a:rPr>
            <a:t>２年目）</a:t>
          </a:r>
        </a:p>
      </xdr:txBody>
    </xdr:sp>
    <xdr:clientData/>
  </xdr:twoCellAnchor>
  <xdr:twoCellAnchor>
    <xdr:from>
      <xdr:col>0</xdr:col>
      <xdr:colOff>173182</xdr:colOff>
      <xdr:row>0</xdr:row>
      <xdr:rowOff>77932</xdr:rowOff>
    </xdr:from>
    <xdr:to>
      <xdr:col>2</xdr:col>
      <xdr:colOff>839065</xdr:colOff>
      <xdr:row>1</xdr:row>
      <xdr:rowOff>171451</xdr:rowOff>
    </xdr:to>
    <xdr:sp macro="" textlink="">
      <xdr:nvSpPr>
        <xdr:cNvPr id="14" name="矢印: 五方向 13">
          <a:hlinkClick xmlns:r="http://schemas.openxmlformats.org/officeDocument/2006/relationships" r:id="rId2"/>
          <a:extLst>
            <a:ext uri="{FF2B5EF4-FFF2-40B4-BE49-F238E27FC236}">
              <a16:creationId xmlns:a16="http://schemas.microsoft.com/office/drawing/2014/main" id="{B2E18FC9-9168-4DD2-A822-67EC337C4C7F}"/>
            </a:ext>
          </a:extLst>
        </xdr:cNvPr>
        <xdr:cNvSpPr/>
      </xdr:nvSpPr>
      <xdr:spPr>
        <a:xfrm flipH="1">
          <a:off x="173182" y="77932"/>
          <a:ext cx="1583747" cy="284019"/>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twoCellAnchor>
    <xdr:from>
      <xdr:col>10</xdr:col>
      <xdr:colOff>155864</xdr:colOff>
      <xdr:row>1</xdr:row>
      <xdr:rowOff>8659</xdr:rowOff>
    </xdr:from>
    <xdr:to>
      <xdr:col>15</xdr:col>
      <xdr:colOff>95251</xdr:colOff>
      <xdr:row>2</xdr:row>
      <xdr:rowOff>112568</xdr:rowOff>
    </xdr:to>
    <xdr:sp macro="" textlink="">
      <xdr:nvSpPr>
        <xdr:cNvPr id="7" name="四角形: 角を丸くする 6">
          <a:extLst>
            <a:ext uri="{FF2B5EF4-FFF2-40B4-BE49-F238E27FC236}">
              <a16:creationId xmlns:a16="http://schemas.microsoft.com/office/drawing/2014/main" id="{79CD4D89-981D-45FE-B05A-65262508DEA7}"/>
            </a:ext>
          </a:extLst>
        </xdr:cNvPr>
        <xdr:cNvSpPr/>
      </xdr:nvSpPr>
      <xdr:spPr>
        <a:xfrm>
          <a:off x="9455728" y="199159"/>
          <a:ext cx="5308023" cy="588818"/>
        </a:xfrm>
        <a:prstGeom prst="roundRect">
          <a:avLst/>
        </a:prstGeom>
        <a:solidFill>
          <a:srgbClr val="3333FF"/>
        </a:solidFill>
        <a:ln>
          <a:solidFill>
            <a:srgbClr val="0066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t>このシートは、社会保険加入者</a:t>
          </a:r>
          <a:r>
            <a:rPr kumimoji="1" lang="ja-JP" altLang="en-US" sz="1400">
              <a:solidFill>
                <a:srgbClr val="99FFCC"/>
              </a:solidFill>
            </a:rPr>
            <a:t>１０１人以上</a:t>
          </a:r>
          <a:r>
            <a:rPr kumimoji="1" lang="ja-JP" altLang="en-US" sz="1400"/>
            <a:t>の企業が対象です！</a:t>
          </a:r>
          <a:endParaRPr kumimoji="1" lang="en-US" altLang="ja-JP" sz="1400"/>
        </a:p>
        <a:p>
          <a:pPr algn="ctr"/>
          <a:r>
            <a:rPr kumimoji="1" lang="ja-JP" altLang="ja-JP" sz="1100" b="1" u="sng">
              <a:solidFill>
                <a:schemeClr val="lt1"/>
              </a:solidFill>
              <a:effectLst/>
              <a:latin typeface="+mn-lt"/>
              <a:ea typeface="+mn-ea"/>
              <a:cs typeface="+mn-cs"/>
            </a:rPr>
            <a:t>２０２４．１０．１からは５１人以上に適用拡大！</a:t>
          </a:r>
          <a:endParaRPr kumimoji="1" lang="ja-JP" altLang="en-US" sz="1600"/>
        </a:p>
      </xdr:txBody>
    </xdr:sp>
    <xdr:clientData/>
  </xdr:twoCellAnchor>
  <xdr:twoCellAnchor>
    <xdr:from>
      <xdr:col>4</xdr:col>
      <xdr:colOff>73331</xdr:colOff>
      <xdr:row>1</xdr:row>
      <xdr:rowOff>304802</xdr:rowOff>
    </xdr:from>
    <xdr:to>
      <xdr:col>6</xdr:col>
      <xdr:colOff>485776</xdr:colOff>
      <xdr:row>3</xdr:row>
      <xdr:rowOff>142201</xdr:rowOff>
    </xdr:to>
    <xdr:grpSp>
      <xdr:nvGrpSpPr>
        <xdr:cNvPr id="3" name="グループ化 2">
          <a:extLst>
            <a:ext uri="{FF2B5EF4-FFF2-40B4-BE49-F238E27FC236}">
              <a16:creationId xmlns:a16="http://schemas.microsoft.com/office/drawing/2014/main" id="{A4BA3DB2-BF18-4F61-B83A-787006CFAA1F}"/>
            </a:ext>
          </a:extLst>
        </xdr:cNvPr>
        <xdr:cNvGrpSpPr/>
      </xdr:nvGrpSpPr>
      <xdr:grpSpPr>
        <a:xfrm>
          <a:off x="3530906" y="495302"/>
          <a:ext cx="2241245" cy="570824"/>
          <a:chOff x="1115533" y="1294187"/>
          <a:chExt cx="1592181" cy="542753"/>
        </a:xfrm>
      </xdr:grpSpPr>
      <xdr:sp macro="" textlink="">
        <xdr:nvSpPr>
          <xdr:cNvPr id="11" name="矢印: 左 10">
            <a:extLst>
              <a:ext uri="{FF2B5EF4-FFF2-40B4-BE49-F238E27FC236}">
                <a16:creationId xmlns:a16="http://schemas.microsoft.com/office/drawing/2014/main" id="{966881B7-2968-75DC-8BEC-56A50D48607C}"/>
              </a:ext>
            </a:extLst>
          </xdr:cNvPr>
          <xdr:cNvSpPr/>
        </xdr:nvSpPr>
        <xdr:spPr>
          <a:xfrm rot="20717574">
            <a:off x="1115533" y="1612628"/>
            <a:ext cx="453480" cy="22431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a:extLst>
              <a:ext uri="{FF2B5EF4-FFF2-40B4-BE49-F238E27FC236}">
                <a16:creationId xmlns:a16="http://schemas.microsoft.com/office/drawing/2014/main" id="{89DE61E9-1885-2EAA-CB2B-A034453F7D43}"/>
              </a:ext>
            </a:extLst>
          </xdr:cNvPr>
          <xdr:cNvSpPr txBox="1"/>
        </xdr:nvSpPr>
        <xdr:spPr>
          <a:xfrm>
            <a:off x="1538993" y="1294187"/>
            <a:ext cx="1168721" cy="5252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a:t>※</a:t>
            </a:r>
            <a:r>
              <a:rPr kumimoji="1" lang="ja-JP" altLang="en-US" sz="1200" b="1"/>
              <a:t>このシートの入力セルは</a:t>
            </a:r>
            <a:r>
              <a:rPr kumimoji="1" lang="ja-JP" altLang="en-US" sz="1200" b="1">
                <a:solidFill>
                  <a:srgbClr val="FF0000"/>
                </a:solidFill>
              </a:rPr>
              <a:t>２ヵ所</a:t>
            </a:r>
            <a:r>
              <a:rPr kumimoji="1" lang="ja-JP" altLang="en-US" sz="1200" b="1"/>
              <a:t>です！</a:t>
            </a:r>
          </a:p>
        </xdr:txBody>
      </xdr:sp>
    </xdr:grpSp>
    <xdr:clientData/>
  </xdr:twoCellAnchor>
  <xdr:twoCellAnchor>
    <xdr:from>
      <xdr:col>2</xdr:col>
      <xdr:colOff>1342158</xdr:colOff>
      <xdr:row>2</xdr:row>
      <xdr:rowOff>178956</xdr:rowOff>
    </xdr:from>
    <xdr:to>
      <xdr:col>4</xdr:col>
      <xdr:colOff>43295</xdr:colOff>
      <xdr:row>4</xdr:row>
      <xdr:rowOff>75768</xdr:rowOff>
    </xdr:to>
    <xdr:sp macro="" textlink="">
      <xdr:nvSpPr>
        <xdr:cNvPr id="15" name="楕円 14">
          <a:extLst>
            <a:ext uri="{FF2B5EF4-FFF2-40B4-BE49-F238E27FC236}">
              <a16:creationId xmlns:a16="http://schemas.microsoft.com/office/drawing/2014/main" id="{6B1D8DA4-F240-4D15-87BC-2D7F37885A36}"/>
            </a:ext>
          </a:extLst>
        </xdr:cNvPr>
        <xdr:cNvSpPr/>
      </xdr:nvSpPr>
      <xdr:spPr>
        <a:xfrm>
          <a:off x="2000250" y="817131"/>
          <a:ext cx="1386320" cy="458787"/>
        </a:xfrm>
        <a:prstGeom prst="ellipse">
          <a:avLst/>
        </a:prstGeom>
        <a:no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15</xdr:col>
      <xdr:colOff>209550</xdr:colOff>
      <xdr:row>14</xdr:row>
      <xdr:rowOff>276225</xdr:rowOff>
    </xdr:from>
    <xdr:to>
      <xdr:col>15</xdr:col>
      <xdr:colOff>1901533</xdr:colOff>
      <xdr:row>16</xdr:row>
      <xdr:rowOff>146338</xdr:rowOff>
    </xdr:to>
    <xdr:grpSp>
      <xdr:nvGrpSpPr>
        <xdr:cNvPr id="11" name="グループ化 10">
          <a:extLst>
            <a:ext uri="{FF2B5EF4-FFF2-40B4-BE49-F238E27FC236}">
              <a16:creationId xmlns:a16="http://schemas.microsoft.com/office/drawing/2014/main" id="{14E35CC3-01A0-420F-810A-11A97B61B0CD}"/>
            </a:ext>
          </a:extLst>
        </xdr:cNvPr>
        <xdr:cNvGrpSpPr/>
      </xdr:nvGrpSpPr>
      <xdr:grpSpPr>
        <a:xfrm>
          <a:off x="14630400" y="4762500"/>
          <a:ext cx="1691983" cy="479713"/>
          <a:chOff x="14841682" y="5221430"/>
          <a:chExt cx="1359475" cy="320386"/>
        </a:xfrm>
      </xdr:grpSpPr>
      <xdr:sp macro="" textlink="">
        <xdr:nvSpPr>
          <xdr:cNvPr id="12" name="正方形/長方形 11">
            <a:extLst>
              <a:ext uri="{FF2B5EF4-FFF2-40B4-BE49-F238E27FC236}">
                <a16:creationId xmlns:a16="http://schemas.microsoft.com/office/drawing/2014/main" id="{32580FC2-BCFF-5F89-D5A1-898E0C23F434}"/>
              </a:ext>
            </a:extLst>
          </xdr:cNvPr>
          <xdr:cNvSpPr/>
        </xdr:nvSpPr>
        <xdr:spPr>
          <a:xfrm>
            <a:off x="14980225" y="5221430"/>
            <a:ext cx="1220932" cy="320386"/>
          </a:xfrm>
          <a:prstGeom prst="rect">
            <a:avLst/>
          </a:prstGeom>
          <a:solidFill>
            <a:sysClr val="window" lastClr="FFFFFF"/>
          </a:solidFill>
          <a:ln w="25400" cap="flat" cmpd="sng" algn="ctr">
            <a:solidFill>
              <a:srgbClr val="0000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新契約でご提案する給与の詳細です！</a:t>
            </a:r>
          </a:p>
        </xdr:txBody>
      </xdr:sp>
      <xdr:sp macro="" textlink="">
        <xdr:nvSpPr>
          <xdr:cNvPr id="13" name="矢印: 左 12">
            <a:extLst>
              <a:ext uri="{FF2B5EF4-FFF2-40B4-BE49-F238E27FC236}">
                <a16:creationId xmlns:a16="http://schemas.microsoft.com/office/drawing/2014/main" id="{AC15126B-1FDD-4781-B954-CC2391E0F401}"/>
              </a:ext>
            </a:extLst>
          </xdr:cNvPr>
          <xdr:cNvSpPr/>
        </xdr:nvSpPr>
        <xdr:spPr>
          <a:xfrm>
            <a:off x="14841682" y="5273386"/>
            <a:ext cx="138545" cy="207818"/>
          </a:xfrm>
          <a:prstGeom prst="leftArrow">
            <a:avLst/>
          </a:prstGeom>
          <a:solidFill>
            <a:srgbClr val="0000FF"/>
          </a:solidFill>
          <a:ln w="25400" cap="flat" cmpd="sng" algn="ctr">
            <a:solidFill>
              <a:srgbClr val="0000FF"/>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grpSp>
    <xdr:clientData/>
  </xdr:twoCellAnchor>
  <xdr:twoCellAnchor>
    <xdr:from>
      <xdr:col>8</xdr:col>
      <xdr:colOff>619126</xdr:colOff>
      <xdr:row>0</xdr:row>
      <xdr:rowOff>76200</xdr:rowOff>
    </xdr:from>
    <xdr:to>
      <xdr:col>12</xdr:col>
      <xdr:colOff>171451</xdr:colOff>
      <xdr:row>1</xdr:row>
      <xdr:rowOff>95250</xdr:rowOff>
    </xdr:to>
    <xdr:sp macro="" textlink="">
      <xdr:nvSpPr>
        <xdr:cNvPr id="14" name="四角形: 角を丸くする 13">
          <a:extLst>
            <a:ext uri="{FF2B5EF4-FFF2-40B4-BE49-F238E27FC236}">
              <a16:creationId xmlns:a16="http://schemas.microsoft.com/office/drawing/2014/main" id="{19131302-C1A5-4842-A6E0-637D95BE2611}"/>
            </a:ext>
          </a:extLst>
        </xdr:cNvPr>
        <xdr:cNvSpPr/>
      </xdr:nvSpPr>
      <xdr:spPr>
        <a:xfrm>
          <a:off x="7391401" y="76200"/>
          <a:ext cx="4133850" cy="409575"/>
        </a:xfrm>
        <a:prstGeom prst="roundRect">
          <a:avLst/>
        </a:prstGeom>
        <a:solidFill>
          <a:srgbClr val="FF66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t>手当等支給メニュー</a:t>
          </a:r>
          <a:r>
            <a:rPr kumimoji="1" lang="ja-JP" altLang="en-US" sz="1800">
              <a:solidFill>
                <a:srgbClr val="FFFF00"/>
              </a:solidFill>
            </a:rPr>
            <a:t>（３年目</a:t>
          </a:r>
          <a:r>
            <a:rPr kumimoji="1" lang="en-US" altLang="ja-JP" sz="1800">
              <a:solidFill>
                <a:srgbClr val="FFFF00"/>
              </a:solidFill>
            </a:rPr>
            <a:t>or</a:t>
          </a:r>
          <a:r>
            <a:rPr kumimoji="1" lang="ja-JP" altLang="en-US" sz="1800">
              <a:solidFill>
                <a:srgbClr val="FFFF00"/>
              </a:solidFill>
            </a:rPr>
            <a:t>２年目）</a:t>
          </a:r>
        </a:p>
      </xdr:txBody>
    </xdr:sp>
    <xdr:clientData/>
  </xdr:twoCellAnchor>
  <xdr:twoCellAnchor>
    <xdr:from>
      <xdr:col>2</xdr:col>
      <xdr:colOff>1247775</xdr:colOff>
      <xdr:row>0</xdr:row>
      <xdr:rowOff>66675</xdr:rowOff>
    </xdr:from>
    <xdr:to>
      <xdr:col>8</xdr:col>
      <xdr:colOff>369309</xdr:colOff>
      <xdr:row>1</xdr:row>
      <xdr:rowOff>82262</xdr:rowOff>
    </xdr:to>
    <xdr:sp macro="" textlink="">
      <xdr:nvSpPr>
        <xdr:cNvPr id="5" name="正方形/長方形 4">
          <a:extLst>
            <a:ext uri="{FF2B5EF4-FFF2-40B4-BE49-F238E27FC236}">
              <a16:creationId xmlns:a16="http://schemas.microsoft.com/office/drawing/2014/main" id="{468CC66E-A1BD-4712-B876-30A3C2B8281C}"/>
            </a:ext>
          </a:extLst>
        </xdr:cNvPr>
        <xdr:cNvSpPr/>
      </xdr:nvSpPr>
      <xdr:spPr>
        <a:xfrm>
          <a:off x="1905000" y="66675"/>
          <a:ext cx="5236584" cy="406112"/>
        </a:xfrm>
        <a:prstGeom prst="rect">
          <a:avLst/>
        </a:prstGeom>
        <a:solidFill>
          <a:srgbClr val="0000FF"/>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600" u="sng">
              <a:solidFill>
                <a:schemeClr val="bg1"/>
              </a:solidFill>
            </a:rPr>
            <a:t>キャリアアップ助成金（社会保険適用時処遇改善コース）</a:t>
          </a:r>
          <a:endParaRPr kumimoji="1" lang="en-US" altLang="ja-JP" sz="1600" u="sng">
            <a:solidFill>
              <a:schemeClr val="bg1"/>
            </a:solidFill>
          </a:endParaRPr>
        </a:p>
      </xdr:txBody>
    </xdr:sp>
    <xdr:clientData/>
  </xdr:twoCellAnchor>
  <xdr:twoCellAnchor>
    <xdr:from>
      <xdr:col>12</xdr:col>
      <xdr:colOff>388359</xdr:colOff>
      <xdr:row>0</xdr:row>
      <xdr:rowOff>93517</xdr:rowOff>
    </xdr:from>
    <xdr:to>
      <xdr:col>15</xdr:col>
      <xdr:colOff>1474209</xdr:colOff>
      <xdr:row>1</xdr:row>
      <xdr:rowOff>74467</xdr:rowOff>
    </xdr:to>
    <xdr:sp macro="" textlink="">
      <xdr:nvSpPr>
        <xdr:cNvPr id="10" name="四角形: 角を丸くする 9">
          <a:extLst>
            <a:ext uri="{FF2B5EF4-FFF2-40B4-BE49-F238E27FC236}">
              <a16:creationId xmlns:a16="http://schemas.microsoft.com/office/drawing/2014/main" id="{9CA50A4D-D1B5-46BB-89EA-9DD7438F856C}"/>
            </a:ext>
          </a:extLst>
        </xdr:cNvPr>
        <xdr:cNvSpPr/>
      </xdr:nvSpPr>
      <xdr:spPr>
        <a:xfrm>
          <a:off x="11742159" y="93517"/>
          <a:ext cx="4152900" cy="371475"/>
        </a:xfrm>
        <a:prstGeom prst="roundRect">
          <a:avLst/>
        </a:prstGeom>
        <a:solidFill>
          <a:srgbClr val="3333FF"/>
        </a:solidFill>
        <a:ln w="25400" cap="flat" cmpd="sng" algn="ctr">
          <a:solidFill>
            <a:srgbClr val="0066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社会保険加入者</a:t>
          </a:r>
          <a:r>
            <a:rPr kumimoji="1" lang="ja-JP" altLang="en-US" sz="1600" b="0" i="0" u="none" strike="noStrike" kern="0" cap="none" spc="0" normalizeH="0" baseline="0" noProof="0">
              <a:ln>
                <a:noFill/>
              </a:ln>
              <a:solidFill>
                <a:srgbClr val="99FFCC"/>
              </a:solidFill>
              <a:effectLst/>
              <a:uLnTx/>
              <a:uFillTx/>
              <a:latin typeface="Calibri"/>
              <a:ea typeface="ＭＳ Ｐゴシック" panose="020B0600070205080204" pitchFamily="50" charset="-128"/>
              <a:cs typeface="+mn-cs"/>
            </a:rPr>
            <a:t>１０１人以上</a:t>
          </a:r>
          <a:r>
            <a:rPr kumimoji="1" lang="ja-JP" altLang="en-US" sz="16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の企業が対象！</a:t>
          </a:r>
        </a:p>
      </xdr:txBody>
    </xdr:sp>
    <xdr:clientData/>
  </xdr:twoCellAnchor>
  <xdr:twoCellAnchor>
    <xdr:from>
      <xdr:col>1</xdr:col>
      <xdr:colOff>0</xdr:colOff>
      <xdr:row>0</xdr:row>
      <xdr:rowOff>85725</xdr:rowOff>
    </xdr:from>
    <xdr:to>
      <xdr:col>2</xdr:col>
      <xdr:colOff>1126547</xdr:colOff>
      <xdr:row>0</xdr:row>
      <xdr:rowOff>369744</xdr:rowOff>
    </xdr:to>
    <xdr:sp macro="" textlink="">
      <xdr:nvSpPr>
        <xdr:cNvPr id="3" name="矢印: 五方向 2">
          <a:hlinkClick xmlns:r="http://schemas.openxmlformats.org/officeDocument/2006/relationships" r:id="rId1"/>
          <a:extLst>
            <a:ext uri="{FF2B5EF4-FFF2-40B4-BE49-F238E27FC236}">
              <a16:creationId xmlns:a16="http://schemas.microsoft.com/office/drawing/2014/main" id="{B17DF65C-0F4E-49B5-9A8E-86BFD12EC000}"/>
            </a:ext>
          </a:extLst>
        </xdr:cNvPr>
        <xdr:cNvSpPr/>
      </xdr:nvSpPr>
      <xdr:spPr>
        <a:xfrm flipH="1">
          <a:off x="200025" y="85725"/>
          <a:ext cx="1583747" cy="284019"/>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twoCellAnchor>
    <xdr:from>
      <xdr:col>16</xdr:col>
      <xdr:colOff>104775</xdr:colOff>
      <xdr:row>19</xdr:row>
      <xdr:rowOff>257175</xdr:rowOff>
    </xdr:from>
    <xdr:to>
      <xdr:col>17</xdr:col>
      <xdr:colOff>701157</xdr:colOff>
      <xdr:row>23</xdr:row>
      <xdr:rowOff>38088</xdr:rowOff>
    </xdr:to>
    <xdr:grpSp>
      <xdr:nvGrpSpPr>
        <xdr:cNvPr id="17" name="グループ化 16">
          <a:extLst>
            <a:ext uri="{FF2B5EF4-FFF2-40B4-BE49-F238E27FC236}">
              <a16:creationId xmlns:a16="http://schemas.microsoft.com/office/drawing/2014/main" id="{8663BA29-307D-45B2-BA5E-ABEE360E6080}"/>
            </a:ext>
          </a:extLst>
        </xdr:cNvPr>
        <xdr:cNvGrpSpPr/>
      </xdr:nvGrpSpPr>
      <xdr:grpSpPr>
        <a:xfrm>
          <a:off x="16859250" y="6267450"/>
          <a:ext cx="1282182" cy="1000113"/>
          <a:chOff x="14752357" y="5094203"/>
          <a:chExt cx="1002005" cy="667946"/>
        </a:xfrm>
      </xdr:grpSpPr>
      <xdr:sp macro="" textlink="">
        <xdr:nvSpPr>
          <xdr:cNvPr id="18" name="正方形/長方形 17">
            <a:extLst>
              <a:ext uri="{FF2B5EF4-FFF2-40B4-BE49-F238E27FC236}">
                <a16:creationId xmlns:a16="http://schemas.microsoft.com/office/drawing/2014/main" id="{425851EF-C34F-DEE3-DAEC-D0400D284CC7}"/>
              </a:ext>
            </a:extLst>
          </xdr:cNvPr>
          <xdr:cNvSpPr/>
        </xdr:nvSpPr>
        <xdr:spPr>
          <a:xfrm>
            <a:off x="14890905" y="5094203"/>
            <a:ext cx="863457" cy="667946"/>
          </a:xfrm>
          <a:prstGeom prst="rect">
            <a:avLst/>
          </a:prstGeom>
          <a:ln>
            <a:solidFill>
              <a:srgbClr val="FFC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200" b="1">
                <a:solidFill>
                  <a:srgbClr val="FF0000"/>
                </a:solidFill>
              </a:rPr>
              <a:t>指標は、個別に移動して提案して下さい！</a:t>
            </a:r>
          </a:p>
        </xdr:txBody>
      </xdr:sp>
      <xdr:sp macro="" textlink="">
        <xdr:nvSpPr>
          <xdr:cNvPr id="19" name="矢印: 左 18">
            <a:extLst>
              <a:ext uri="{FF2B5EF4-FFF2-40B4-BE49-F238E27FC236}">
                <a16:creationId xmlns:a16="http://schemas.microsoft.com/office/drawing/2014/main" id="{EBC647E5-1C67-CECF-0BEF-AB7140BBF81E}"/>
              </a:ext>
            </a:extLst>
          </xdr:cNvPr>
          <xdr:cNvSpPr/>
        </xdr:nvSpPr>
        <xdr:spPr>
          <a:xfrm>
            <a:off x="14752357" y="5324274"/>
            <a:ext cx="138545" cy="207817"/>
          </a:xfrm>
          <a:prstGeom prst="leftArrow">
            <a:avLst/>
          </a:prstGeom>
          <a:solidFill>
            <a:srgbClr val="FFFF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15</xdr:col>
      <xdr:colOff>209550</xdr:colOff>
      <xdr:row>8</xdr:row>
      <xdr:rowOff>752475</xdr:rowOff>
    </xdr:from>
    <xdr:to>
      <xdr:col>15</xdr:col>
      <xdr:colOff>1901533</xdr:colOff>
      <xdr:row>11</xdr:row>
      <xdr:rowOff>98713</xdr:rowOff>
    </xdr:to>
    <xdr:grpSp>
      <xdr:nvGrpSpPr>
        <xdr:cNvPr id="20" name="グループ化 19">
          <a:extLst>
            <a:ext uri="{FF2B5EF4-FFF2-40B4-BE49-F238E27FC236}">
              <a16:creationId xmlns:a16="http://schemas.microsoft.com/office/drawing/2014/main" id="{19171881-F1E8-42C4-9D14-09592DDD529C}"/>
            </a:ext>
          </a:extLst>
        </xdr:cNvPr>
        <xdr:cNvGrpSpPr/>
      </xdr:nvGrpSpPr>
      <xdr:grpSpPr>
        <a:xfrm>
          <a:off x="14630400" y="3190875"/>
          <a:ext cx="1691983" cy="479713"/>
          <a:chOff x="14841682" y="5221430"/>
          <a:chExt cx="1359475" cy="320386"/>
        </a:xfrm>
      </xdr:grpSpPr>
      <xdr:sp macro="" textlink="">
        <xdr:nvSpPr>
          <xdr:cNvPr id="21" name="正方形/長方形 20">
            <a:extLst>
              <a:ext uri="{FF2B5EF4-FFF2-40B4-BE49-F238E27FC236}">
                <a16:creationId xmlns:a16="http://schemas.microsoft.com/office/drawing/2014/main" id="{77A91B5C-D602-DA48-82FC-AE98966ED430}"/>
              </a:ext>
            </a:extLst>
          </xdr:cNvPr>
          <xdr:cNvSpPr/>
        </xdr:nvSpPr>
        <xdr:spPr>
          <a:xfrm>
            <a:off x="14980225" y="5221430"/>
            <a:ext cx="1220932" cy="320386"/>
          </a:xfrm>
          <a:prstGeom prst="rect">
            <a:avLst/>
          </a:prstGeom>
          <a:solidFill>
            <a:sysClr val="window" lastClr="FFFFFF"/>
          </a:solidFill>
          <a:ln w="25400" cap="flat" cmpd="sng" algn="ctr">
            <a:solidFill>
              <a:srgbClr val="0000FF"/>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新契約の給与の詳細です！</a:t>
            </a:r>
          </a:p>
        </xdr:txBody>
      </xdr:sp>
      <xdr:sp macro="" textlink="">
        <xdr:nvSpPr>
          <xdr:cNvPr id="22" name="矢印: 左 21">
            <a:extLst>
              <a:ext uri="{FF2B5EF4-FFF2-40B4-BE49-F238E27FC236}">
                <a16:creationId xmlns:a16="http://schemas.microsoft.com/office/drawing/2014/main" id="{5FD994FD-6C75-C1A4-1A67-701F7608B2FD}"/>
              </a:ext>
            </a:extLst>
          </xdr:cNvPr>
          <xdr:cNvSpPr/>
        </xdr:nvSpPr>
        <xdr:spPr>
          <a:xfrm>
            <a:off x="14841682" y="5273386"/>
            <a:ext cx="138545" cy="207818"/>
          </a:xfrm>
          <a:prstGeom prst="leftArrow">
            <a:avLst/>
          </a:prstGeom>
          <a:solidFill>
            <a:srgbClr val="0000FF"/>
          </a:solidFill>
          <a:ln w="25400" cap="flat" cmpd="sng" algn="ctr">
            <a:solidFill>
              <a:srgbClr val="0000FF"/>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14</xdr:col>
      <xdr:colOff>1000125</xdr:colOff>
      <xdr:row>13</xdr:row>
      <xdr:rowOff>0</xdr:rowOff>
    </xdr:from>
    <xdr:to>
      <xdr:col>15</xdr:col>
      <xdr:colOff>254000</xdr:colOff>
      <xdr:row>13</xdr:row>
      <xdr:rowOff>142875</xdr:rowOff>
    </xdr:to>
    <xdr:sp macro="" textlink="">
      <xdr:nvSpPr>
        <xdr:cNvPr id="2" name="矢印: 左右 1">
          <a:extLst>
            <a:ext uri="{FF2B5EF4-FFF2-40B4-BE49-F238E27FC236}">
              <a16:creationId xmlns:a16="http://schemas.microsoft.com/office/drawing/2014/main" id="{B2AFD3AD-5A1C-4B57-8FAF-6CFE54C14B78}"/>
            </a:ext>
          </a:extLst>
        </xdr:cNvPr>
        <xdr:cNvSpPr/>
      </xdr:nvSpPr>
      <xdr:spPr>
        <a:xfrm>
          <a:off x="13877925" y="3933825"/>
          <a:ext cx="368300" cy="142875"/>
        </a:xfrm>
        <a:prstGeom prst="leftRightArrow">
          <a:avLst/>
        </a:prstGeom>
        <a:solidFill>
          <a:schemeClr val="accent4">
            <a:lumMod val="75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1058573</xdr:colOff>
      <xdr:row>12</xdr:row>
      <xdr:rowOff>355022</xdr:rowOff>
    </xdr:from>
    <xdr:to>
      <xdr:col>13</xdr:col>
      <xdr:colOff>162358</xdr:colOff>
      <xdr:row>13</xdr:row>
      <xdr:rowOff>147204</xdr:rowOff>
    </xdr:to>
    <xdr:sp macro="" textlink="">
      <xdr:nvSpPr>
        <xdr:cNvPr id="16" name="矢印: 下 15">
          <a:extLst>
            <a:ext uri="{FF2B5EF4-FFF2-40B4-BE49-F238E27FC236}">
              <a16:creationId xmlns:a16="http://schemas.microsoft.com/office/drawing/2014/main" id="{2C5969B7-9B30-4C29-BD80-1D46A3CEEEE4}"/>
            </a:ext>
          </a:extLst>
        </xdr:cNvPr>
        <xdr:cNvSpPr/>
      </xdr:nvSpPr>
      <xdr:spPr>
        <a:xfrm>
          <a:off x="11869448" y="3917372"/>
          <a:ext cx="227735" cy="163657"/>
        </a:xfrm>
        <a:prstGeom prst="downArrow">
          <a:avLst/>
        </a:prstGeom>
        <a:solidFill>
          <a:srgbClr val="0000CC"/>
        </a:solid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1000125</xdr:colOff>
      <xdr:row>13</xdr:row>
      <xdr:rowOff>0</xdr:rowOff>
    </xdr:from>
    <xdr:to>
      <xdr:col>19</xdr:col>
      <xdr:colOff>254000</xdr:colOff>
      <xdr:row>13</xdr:row>
      <xdr:rowOff>142875</xdr:rowOff>
    </xdr:to>
    <xdr:sp macro="" textlink="">
      <xdr:nvSpPr>
        <xdr:cNvPr id="29" name="矢印: 左右 28">
          <a:extLst>
            <a:ext uri="{FF2B5EF4-FFF2-40B4-BE49-F238E27FC236}">
              <a16:creationId xmlns:a16="http://schemas.microsoft.com/office/drawing/2014/main" id="{0652D8FE-519B-4664-991F-B42EFF7ADCB0}"/>
            </a:ext>
          </a:extLst>
        </xdr:cNvPr>
        <xdr:cNvSpPr/>
      </xdr:nvSpPr>
      <xdr:spPr>
        <a:xfrm>
          <a:off x="18335625" y="3933825"/>
          <a:ext cx="368300" cy="142875"/>
        </a:xfrm>
        <a:prstGeom prst="leftRightArrow">
          <a:avLst/>
        </a:prstGeom>
        <a:solidFill>
          <a:srgbClr val="00B0F0"/>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692728</xdr:colOff>
      <xdr:row>3</xdr:row>
      <xdr:rowOff>69273</xdr:rowOff>
    </xdr:from>
    <xdr:to>
      <xdr:col>9</xdr:col>
      <xdr:colOff>34638</xdr:colOff>
      <xdr:row>4</xdr:row>
      <xdr:rowOff>229261</xdr:rowOff>
    </xdr:to>
    <xdr:sp macro="" textlink="">
      <xdr:nvSpPr>
        <xdr:cNvPr id="30" name="四角形: 角を丸くする 29">
          <a:extLst>
            <a:ext uri="{FF2B5EF4-FFF2-40B4-BE49-F238E27FC236}">
              <a16:creationId xmlns:a16="http://schemas.microsoft.com/office/drawing/2014/main" id="{5D5A2856-C9F1-431F-9699-8A1F7732BBBE}"/>
            </a:ext>
          </a:extLst>
        </xdr:cNvPr>
        <xdr:cNvSpPr/>
      </xdr:nvSpPr>
      <xdr:spPr>
        <a:xfrm>
          <a:off x="4035137" y="961159"/>
          <a:ext cx="3212524" cy="471716"/>
        </a:xfrm>
        <a:prstGeom prst="roundRect">
          <a:avLst/>
        </a:prstGeom>
        <a:solidFill>
          <a:srgbClr val="3333FF"/>
        </a:solidFill>
        <a:ln>
          <a:solidFill>
            <a:srgbClr val="0066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t>このシートは、参照シートです！</a:t>
          </a:r>
        </a:p>
      </xdr:txBody>
    </xdr:sp>
    <xdr:clientData/>
  </xdr:twoCellAnchor>
  <xdr:twoCellAnchor>
    <xdr:from>
      <xdr:col>13</xdr:col>
      <xdr:colOff>251114</xdr:colOff>
      <xdr:row>1</xdr:row>
      <xdr:rowOff>8659</xdr:rowOff>
    </xdr:from>
    <xdr:to>
      <xdr:col>17</xdr:col>
      <xdr:colOff>450272</xdr:colOff>
      <xdr:row>2</xdr:row>
      <xdr:rowOff>95251</xdr:rowOff>
    </xdr:to>
    <xdr:grpSp>
      <xdr:nvGrpSpPr>
        <xdr:cNvPr id="3" name="グループ化 2">
          <a:extLst>
            <a:ext uri="{FF2B5EF4-FFF2-40B4-BE49-F238E27FC236}">
              <a16:creationId xmlns:a16="http://schemas.microsoft.com/office/drawing/2014/main" id="{457AD94C-6CD9-4428-B303-4E0C3D36A87C}"/>
            </a:ext>
          </a:extLst>
        </xdr:cNvPr>
        <xdr:cNvGrpSpPr/>
      </xdr:nvGrpSpPr>
      <xdr:grpSpPr>
        <a:xfrm>
          <a:off x="11473296" y="164523"/>
          <a:ext cx="4494067" cy="571501"/>
          <a:chOff x="10096501" y="1853046"/>
          <a:chExt cx="4502725" cy="571500"/>
        </a:xfrm>
      </xdr:grpSpPr>
      <xdr:sp macro="" textlink="">
        <xdr:nvSpPr>
          <xdr:cNvPr id="4" name="正方形/長方形 3">
            <a:extLst>
              <a:ext uri="{FF2B5EF4-FFF2-40B4-BE49-F238E27FC236}">
                <a16:creationId xmlns:a16="http://schemas.microsoft.com/office/drawing/2014/main" id="{B2B3C094-0230-C06D-2CB6-D5BE82AB70EE}"/>
              </a:ext>
            </a:extLst>
          </xdr:cNvPr>
          <xdr:cNvSpPr/>
        </xdr:nvSpPr>
        <xdr:spPr>
          <a:xfrm>
            <a:off x="10538113" y="1861705"/>
            <a:ext cx="4061113" cy="476250"/>
          </a:xfrm>
          <a:prstGeom prst="rect">
            <a:avLst/>
          </a:prstGeom>
          <a:solidFill>
            <a:srgbClr val="0000FF"/>
          </a:solidFill>
          <a:ln>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400">
                <a:solidFill>
                  <a:schemeClr val="lt1"/>
                </a:solidFill>
                <a:effectLst/>
                <a:latin typeface="+mn-lt"/>
                <a:ea typeface="+mn-ea"/>
                <a:cs typeface="+mn-cs"/>
              </a:rPr>
              <a:t>このシートの設計変更は制限させていただきます！</a:t>
            </a:r>
            <a:endParaRPr lang="ja-JP" altLang="ja-JP" sz="1400">
              <a:effectLst/>
            </a:endParaRPr>
          </a:p>
          <a:p>
            <a:pPr algn="l"/>
            <a:endParaRPr kumimoji="1" lang="ja-JP" altLang="en-US" sz="1400"/>
          </a:p>
        </xdr:txBody>
      </xdr:sp>
      <xdr:pic>
        <xdr:nvPicPr>
          <xdr:cNvPr id="5" name="図 4">
            <a:extLst>
              <a:ext uri="{FF2B5EF4-FFF2-40B4-BE49-F238E27FC236}">
                <a16:creationId xmlns:a16="http://schemas.microsoft.com/office/drawing/2014/main" id="{020C3829-401A-7684-362A-F6C7594169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96501" y="1853046"/>
            <a:ext cx="470671" cy="5715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0</xdr:colOff>
      <xdr:row>1</xdr:row>
      <xdr:rowOff>0</xdr:rowOff>
    </xdr:from>
    <xdr:to>
      <xdr:col>2</xdr:col>
      <xdr:colOff>1124815</xdr:colOff>
      <xdr:row>1</xdr:row>
      <xdr:rowOff>284019</xdr:rowOff>
    </xdr:to>
    <xdr:sp macro="" textlink="">
      <xdr:nvSpPr>
        <xdr:cNvPr id="6" name="矢印: 五方向 5">
          <a:hlinkClick xmlns:r="http://schemas.openxmlformats.org/officeDocument/2006/relationships" r:id="rId2"/>
          <a:extLst>
            <a:ext uri="{FF2B5EF4-FFF2-40B4-BE49-F238E27FC236}">
              <a16:creationId xmlns:a16="http://schemas.microsoft.com/office/drawing/2014/main" id="{E67DFAFB-6C0E-4103-B1AF-EE51201F7AB3}"/>
            </a:ext>
          </a:extLst>
        </xdr:cNvPr>
        <xdr:cNvSpPr/>
      </xdr:nvSpPr>
      <xdr:spPr>
        <a:xfrm flipH="1">
          <a:off x="199159" y="155864"/>
          <a:ext cx="1583747" cy="284019"/>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7C67E-F8D7-4BB7-8597-402992100CC7}">
  <sheetPr>
    <tabColor rgb="FFFFFF00"/>
  </sheetPr>
  <dimension ref="A1:AD249"/>
  <sheetViews>
    <sheetView showGridLines="0" tabSelected="1" zoomScale="90" zoomScaleNormal="90" workbookViewId="0"/>
  </sheetViews>
  <sheetFormatPr defaultRowHeight="13.5" x14ac:dyDescent="0.15"/>
  <cols>
    <col min="1" max="1" width="1.75" customWidth="1"/>
    <col min="2" max="2" width="3.25" style="874" customWidth="1"/>
    <col min="3" max="3" width="6.75" customWidth="1"/>
    <col min="6" max="6" width="9" customWidth="1"/>
    <col min="10" max="10" width="11.5" customWidth="1"/>
  </cols>
  <sheetData>
    <row r="1" spans="2:30" x14ac:dyDescent="0.15">
      <c r="V1" s="875"/>
      <c r="W1" s="875"/>
      <c r="X1" s="875"/>
      <c r="Y1" s="875"/>
      <c r="Z1" s="875"/>
      <c r="AA1" s="875"/>
      <c r="AB1" s="875"/>
      <c r="AC1" s="875"/>
      <c r="AD1" s="875"/>
    </row>
    <row r="2" spans="2:30" x14ac:dyDescent="0.15">
      <c r="V2" s="875"/>
      <c r="W2" s="875"/>
      <c r="X2" s="875"/>
      <c r="Y2" s="875"/>
      <c r="Z2" s="875"/>
      <c r="AA2" s="875"/>
      <c r="AB2" s="875"/>
      <c r="AC2" s="875"/>
      <c r="AD2" s="875"/>
    </row>
    <row r="3" spans="2:30" ht="23.25" customHeight="1" x14ac:dyDescent="0.15">
      <c r="D3" s="876"/>
      <c r="V3" s="875"/>
      <c r="W3" s="875"/>
      <c r="X3" s="875"/>
      <c r="Y3" s="875"/>
      <c r="Z3" s="875"/>
      <c r="AA3" s="875"/>
      <c r="AB3" s="875"/>
      <c r="AC3" s="875"/>
      <c r="AD3" s="875"/>
    </row>
    <row r="4" spans="2:30" ht="36.75" customHeight="1" x14ac:dyDescent="0.15">
      <c r="B4" s="877"/>
      <c r="C4" s="206"/>
      <c r="J4" s="878"/>
      <c r="V4" s="875"/>
      <c r="W4" s="875"/>
      <c r="X4" s="875"/>
      <c r="Y4" s="875"/>
      <c r="Z4" s="875"/>
      <c r="AA4" s="875"/>
      <c r="AB4" s="875"/>
      <c r="AC4" s="875"/>
      <c r="AD4" s="875"/>
    </row>
    <row r="5" spans="2:30" ht="36.75" customHeight="1" x14ac:dyDescent="0.15">
      <c r="B5" s="877"/>
      <c r="C5" s="206"/>
      <c r="J5" s="878"/>
      <c r="V5" s="875"/>
      <c r="W5" s="875"/>
      <c r="X5" s="875"/>
      <c r="Y5" s="875"/>
      <c r="Z5" s="875"/>
      <c r="AA5" s="875"/>
      <c r="AB5" s="875"/>
      <c r="AC5" s="875"/>
      <c r="AD5" s="875"/>
    </row>
    <row r="6" spans="2:30" ht="23.25" customHeight="1" x14ac:dyDescent="0.15">
      <c r="B6" s="879"/>
      <c r="C6" s="931" t="s">
        <v>171</v>
      </c>
      <c r="D6" s="931"/>
      <c r="J6" s="880"/>
      <c r="V6" s="875"/>
      <c r="W6" s="875"/>
      <c r="X6" s="875"/>
      <c r="Y6" s="875"/>
      <c r="Z6" s="875"/>
      <c r="AA6" s="875"/>
      <c r="AB6" s="875"/>
      <c r="AC6" s="875"/>
      <c r="AD6" s="875"/>
    </row>
    <row r="7" spans="2:30" ht="23.25" customHeight="1" x14ac:dyDescent="0.15">
      <c r="B7" s="877"/>
      <c r="G7" s="881"/>
      <c r="K7" s="881"/>
      <c r="N7" s="881"/>
      <c r="V7" s="875"/>
      <c r="W7" s="875"/>
      <c r="X7" s="875"/>
      <c r="Y7" s="875"/>
      <c r="Z7" s="875"/>
      <c r="AA7" s="875"/>
      <c r="AB7" s="875"/>
      <c r="AC7" s="875"/>
      <c r="AD7" s="875"/>
    </row>
    <row r="8" spans="2:30" ht="23.25" customHeight="1" x14ac:dyDescent="0.15">
      <c r="B8" s="877"/>
      <c r="J8" s="880"/>
      <c r="V8" s="875"/>
      <c r="W8" s="875"/>
      <c r="X8" s="875"/>
      <c r="Y8" s="875"/>
      <c r="Z8" s="875"/>
      <c r="AA8" s="875"/>
      <c r="AB8" s="875"/>
      <c r="AC8" s="875"/>
      <c r="AD8" s="875"/>
    </row>
    <row r="9" spans="2:30" ht="23.25" customHeight="1" x14ac:dyDescent="0.15">
      <c r="B9" s="877"/>
      <c r="V9" s="875"/>
      <c r="W9" s="875"/>
      <c r="X9" s="875"/>
      <c r="Y9" s="875"/>
      <c r="Z9" s="875"/>
      <c r="AA9" s="875"/>
      <c r="AB9" s="875"/>
      <c r="AC9" s="875"/>
      <c r="AD9" s="875"/>
    </row>
    <row r="10" spans="2:30" ht="23.25" customHeight="1" x14ac:dyDescent="0.15">
      <c r="B10" s="877"/>
      <c r="V10" s="875"/>
      <c r="W10" s="875"/>
      <c r="X10" s="875"/>
      <c r="Y10" s="875"/>
      <c r="Z10" s="875"/>
      <c r="AA10" s="875"/>
      <c r="AB10" s="875"/>
      <c r="AC10" s="875"/>
      <c r="AD10" s="875"/>
    </row>
    <row r="11" spans="2:30" ht="23.25" customHeight="1" x14ac:dyDescent="0.15">
      <c r="B11" s="877"/>
      <c r="V11" s="875"/>
      <c r="W11" s="875"/>
      <c r="X11" s="875"/>
      <c r="Y11" s="875"/>
      <c r="Z11" s="875"/>
      <c r="AA11" s="875"/>
      <c r="AB11" s="875"/>
      <c r="AC11" s="875"/>
      <c r="AD11" s="875"/>
    </row>
    <row r="12" spans="2:30" ht="23.25" customHeight="1" x14ac:dyDescent="0.15">
      <c r="B12" s="877"/>
      <c r="V12" s="875"/>
      <c r="W12" s="875"/>
      <c r="X12" s="875"/>
      <c r="Y12" s="875"/>
      <c r="Z12" s="875"/>
      <c r="AA12" s="875"/>
      <c r="AB12" s="875"/>
      <c r="AC12" s="875"/>
      <c r="AD12" s="875"/>
    </row>
    <row r="13" spans="2:30" ht="23.1" customHeight="1" x14ac:dyDescent="0.15">
      <c r="V13" s="875"/>
      <c r="W13" s="875"/>
      <c r="X13" s="875"/>
      <c r="Y13" s="875"/>
      <c r="Z13" s="875"/>
      <c r="AA13" s="875"/>
      <c r="AB13" s="875"/>
      <c r="AC13" s="875"/>
      <c r="AD13" s="875"/>
    </row>
    <row r="14" spans="2:30" ht="23.1" customHeight="1" x14ac:dyDescent="0.15">
      <c r="B14" s="877"/>
      <c r="V14" s="875"/>
      <c r="W14" s="875"/>
      <c r="X14" s="875"/>
      <c r="Y14" s="875"/>
      <c r="Z14" s="875"/>
      <c r="AA14" s="875"/>
      <c r="AB14" s="875"/>
      <c r="AC14" s="875"/>
      <c r="AD14" s="875"/>
    </row>
    <row r="15" spans="2:30" ht="23.1" customHeight="1" x14ac:dyDescent="0.15">
      <c r="B15" s="877"/>
      <c r="V15" s="875"/>
      <c r="W15" s="875"/>
      <c r="X15" s="875"/>
      <c r="Y15" s="875"/>
      <c r="Z15" s="875"/>
      <c r="AA15" s="875"/>
      <c r="AB15" s="875"/>
      <c r="AC15" s="875"/>
      <c r="AD15" s="875"/>
    </row>
    <row r="16" spans="2:30" ht="23.1" customHeight="1" x14ac:dyDescent="0.15">
      <c r="B16" s="882"/>
      <c r="C16" s="875"/>
      <c r="D16" s="875"/>
      <c r="E16" s="875"/>
      <c r="F16" s="875"/>
      <c r="G16" s="875"/>
      <c r="H16" s="875"/>
      <c r="I16" s="875"/>
      <c r="J16" s="875"/>
      <c r="K16" s="875"/>
      <c r="L16" s="875"/>
      <c r="M16" s="875"/>
      <c r="N16" s="875"/>
      <c r="O16" s="875"/>
      <c r="P16" s="875"/>
      <c r="Q16" s="875"/>
      <c r="R16" s="875"/>
      <c r="S16" s="875"/>
      <c r="T16" s="875"/>
      <c r="U16" s="875"/>
      <c r="V16" s="875"/>
      <c r="W16" s="875"/>
      <c r="X16" s="875"/>
      <c r="Y16" s="875"/>
      <c r="Z16" s="875"/>
      <c r="AA16" s="875"/>
      <c r="AB16" s="875"/>
      <c r="AC16" s="875"/>
      <c r="AD16" s="875"/>
    </row>
    <row r="17" spans="2:30" ht="23.1" customHeight="1" x14ac:dyDescent="0.15">
      <c r="B17" s="882"/>
      <c r="C17" s="875"/>
      <c r="D17" s="875"/>
      <c r="E17" s="875"/>
      <c r="F17" s="875"/>
      <c r="G17" s="875"/>
      <c r="H17" s="875"/>
      <c r="I17" s="875"/>
      <c r="J17" s="875"/>
      <c r="K17" s="875"/>
      <c r="L17" s="875"/>
      <c r="M17" s="875"/>
      <c r="N17" s="875"/>
      <c r="O17" s="875"/>
      <c r="P17" s="875"/>
      <c r="Q17" s="875"/>
      <c r="R17" s="875"/>
      <c r="S17" s="875"/>
      <c r="T17" s="875"/>
      <c r="U17" s="875"/>
      <c r="V17" s="875"/>
      <c r="W17" s="875"/>
      <c r="X17" s="875"/>
      <c r="Y17" s="875"/>
      <c r="Z17" s="875"/>
      <c r="AA17" s="875"/>
      <c r="AB17" s="875"/>
      <c r="AC17" s="875"/>
      <c r="AD17" s="875"/>
    </row>
    <row r="18" spans="2:30" ht="23.1" customHeight="1" x14ac:dyDescent="0.15">
      <c r="B18" s="882"/>
      <c r="C18" s="875"/>
      <c r="D18" s="875"/>
      <c r="E18" s="875"/>
      <c r="F18" s="875"/>
      <c r="G18" s="875"/>
      <c r="H18" s="875"/>
      <c r="I18" s="875"/>
      <c r="J18" s="875"/>
      <c r="K18" s="875"/>
      <c r="L18" s="875"/>
      <c r="M18" s="875"/>
      <c r="N18" s="875"/>
      <c r="O18" s="875"/>
      <c r="P18" s="875"/>
      <c r="Q18" s="875"/>
      <c r="R18" s="875"/>
      <c r="S18" s="875"/>
      <c r="T18" s="875"/>
      <c r="U18" s="875"/>
      <c r="V18" s="875"/>
      <c r="W18" s="875"/>
      <c r="X18" s="875"/>
      <c r="Y18" s="875"/>
      <c r="Z18" s="875"/>
      <c r="AA18" s="875"/>
      <c r="AB18" s="875"/>
      <c r="AC18" s="875"/>
      <c r="AD18" s="875"/>
    </row>
    <row r="19" spans="2:30" ht="23.1" customHeight="1" x14ac:dyDescent="0.15">
      <c r="B19" s="883"/>
      <c r="C19" s="875"/>
      <c r="D19" s="875"/>
      <c r="E19" s="875"/>
      <c r="F19" s="875"/>
      <c r="G19" s="875"/>
      <c r="H19" s="875"/>
      <c r="I19" s="875"/>
      <c r="J19" s="875"/>
      <c r="K19" s="875"/>
      <c r="L19" s="875"/>
      <c r="M19" s="875"/>
      <c r="N19" s="875"/>
      <c r="O19" s="875"/>
      <c r="P19" s="875"/>
      <c r="Q19" s="875"/>
      <c r="R19" s="875"/>
      <c r="S19" s="875"/>
      <c r="T19" s="875"/>
      <c r="U19" s="875"/>
      <c r="V19" s="875"/>
      <c r="W19" s="875"/>
      <c r="X19" s="875"/>
      <c r="Y19" s="875"/>
      <c r="Z19" s="875"/>
      <c r="AA19" s="875"/>
      <c r="AB19" s="875"/>
      <c r="AC19" s="875"/>
      <c r="AD19" s="875"/>
    </row>
    <row r="20" spans="2:30" ht="23.1" customHeight="1" x14ac:dyDescent="0.15">
      <c r="B20" s="883"/>
      <c r="C20" s="875"/>
      <c r="D20" s="875"/>
      <c r="E20" s="875"/>
      <c r="F20" s="875"/>
      <c r="G20" s="875"/>
      <c r="H20" s="875"/>
      <c r="I20" s="875"/>
      <c r="J20" s="875"/>
      <c r="K20" s="875"/>
      <c r="L20" s="875"/>
      <c r="M20" s="875"/>
      <c r="N20" s="875"/>
      <c r="O20" s="875"/>
      <c r="P20" s="875"/>
      <c r="Q20" s="875"/>
      <c r="R20" s="875"/>
      <c r="S20" s="875"/>
      <c r="T20" s="875"/>
      <c r="U20" s="875"/>
      <c r="V20" s="875"/>
      <c r="W20" s="875"/>
      <c r="X20" s="875"/>
      <c r="Y20" s="875"/>
      <c r="Z20" s="875"/>
      <c r="AA20" s="875"/>
      <c r="AB20" s="875"/>
      <c r="AC20" s="875"/>
      <c r="AD20" s="875"/>
    </row>
    <row r="21" spans="2:30" ht="23.1" customHeight="1" x14ac:dyDescent="0.15">
      <c r="B21" s="883"/>
      <c r="C21" s="875"/>
      <c r="D21" s="875"/>
      <c r="E21" s="875"/>
      <c r="F21" s="875"/>
      <c r="G21" s="875"/>
      <c r="H21" s="875"/>
      <c r="I21" s="875"/>
      <c r="J21" s="875"/>
      <c r="K21" s="875"/>
      <c r="L21" s="875"/>
      <c r="M21" s="875"/>
      <c r="N21" s="875"/>
      <c r="O21" s="875"/>
      <c r="P21" s="875"/>
      <c r="Q21" s="875"/>
      <c r="R21" s="875"/>
      <c r="S21" s="875"/>
      <c r="T21" s="875"/>
      <c r="U21" s="875"/>
      <c r="V21" s="875"/>
      <c r="W21" s="875"/>
      <c r="X21" s="875"/>
      <c r="Y21" s="875"/>
      <c r="Z21" s="875"/>
      <c r="AA21" s="875"/>
      <c r="AB21" s="875"/>
      <c r="AC21" s="875"/>
      <c r="AD21" s="875"/>
    </row>
    <row r="22" spans="2:30" ht="23.1" customHeight="1" x14ac:dyDescent="0.15">
      <c r="B22" s="883"/>
      <c r="C22" s="875"/>
      <c r="D22" s="875"/>
      <c r="E22" s="875"/>
      <c r="F22" s="875"/>
      <c r="G22" s="875"/>
      <c r="H22" s="875"/>
      <c r="I22" s="875"/>
      <c r="J22" s="875"/>
      <c r="K22" s="875"/>
      <c r="L22" s="875"/>
      <c r="M22" s="875"/>
      <c r="N22" s="875"/>
      <c r="O22" s="875"/>
      <c r="P22" s="875"/>
      <c r="Q22" s="875"/>
      <c r="R22" s="875"/>
      <c r="S22" s="875"/>
      <c r="T22" s="875"/>
      <c r="U22" s="875"/>
      <c r="V22" s="875"/>
      <c r="W22" s="875"/>
      <c r="X22" s="875"/>
      <c r="Y22" s="875"/>
      <c r="Z22" s="875"/>
      <c r="AA22" s="875"/>
      <c r="AB22" s="875"/>
      <c r="AC22" s="875"/>
      <c r="AD22" s="875"/>
    </row>
    <row r="23" spans="2:30" ht="23.1" customHeight="1" x14ac:dyDescent="0.15">
      <c r="B23" s="883"/>
      <c r="C23" s="875"/>
      <c r="D23" s="875"/>
      <c r="E23" s="875"/>
      <c r="F23" s="875"/>
      <c r="G23" s="875"/>
      <c r="H23" s="875"/>
      <c r="I23" s="875"/>
      <c r="J23" s="875"/>
      <c r="K23" s="875"/>
      <c r="L23" s="875"/>
      <c r="M23" s="875"/>
      <c r="N23" s="875"/>
      <c r="O23" s="875"/>
      <c r="P23" s="875"/>
      <c r="Q23" s="875"/>
      <c r="R23" s="875"/>
      <c r="S23" s="875"/>
      <c r="T23" s="875"/>
      <c r="U23" s="875"/>
      <c r="V23" s="875"/>
      <c r="W23" s="875"/>
      <c r="X23" s="875"/>
      <c r="Y23" s="875"/>
      <c r="Z23" s="875"/>
      <c r="AA23" s="875"/>
      <c r="AB23" s="875"/>
      <c r="AC23" s="875"/>
      <c r="AD23" s="875"/>
    </row>
    <row r="24" spans="2:30" ht="23.1" customHeight="1" x14ac:dyDescent="0.15">
      <c r="B24" s="883"/>
      <c r="C24" s="875"/>
      <c r="D24" s="875"/>
      <c r="E24" s="875"/>
      <c r="F24" s="875"/>
      <c r="G24" s="875"/>
      <c r="H24" s="875"/>
      <c r="I24" s="875"/>
      <c r="J24" s="875"/>
      <c r="K24" s="875"/>
      <c r="L24" s="875"/>
      <c r="M24" s="875"/>
      <c r="N24" s="875"/>
      <c r="O24" s="875"/>
      <c r="P24" s="875"/>
      <c r="Q24" s="875"/>
      <c r="R24" s="875"/>
      <c r="S24" s="875"/>
      <c r="T24" s="875"/>
      <c r="U24" s="875"/>
      <c r="V24" s="875"/>
      <c r="W24" s="875"/>
      <c r="X24" s="875"/>
      <c r="Y24" s="875"/>
      <c r="Z24" s="875"/>
      <c r="AA24" s="875"/>
      <c r="AB24" s="875"/>
      <c r="AC24" s="875"/>
      <c r="AD24" s="875"/>
    </row>
    <row r="25" spans="2:30" ht="23.1" customHeight="1" x14ac:dyDescent="0.15">
      <c r="B25" s="883"/>
      <c r="C25" s="884"/>
      <c r="D25" s="884" t="s">
        <v>370</v>
      </c>
      <c r="E25" s="875"/>
      <c r="F25" s="875"/>
      <c r="G25" s="875"/>
      <c r="H25" s="875"/>
      <c r="I25" s="875"/>
      <c r="J25" s="875"/>
      <c r="K25" s="875"/>
      <c r="L25" s="875"/>
      <c r="M25" s="875"/>
      <c r="N25" s="875"/>
      <c r="O25" s="875"/>
      <c r="P25" s="875"/>
      <c r="Q25" s="875"/>
      <c r="R25" s="875"/>
      <c r="S25" s="875"/>
      <c r="T25" s="875"/>
      <c r="U25" s="875"/>
      <c r="V25" s="875"/>
      <c r="W25" s="875"/>
      <c r="X25" s="875"/>
      <c r="Y25" s="875"/>
      <c r="Z25" s="875"/>
      <c r="AA25" s="875"/>
      <c r="AB25" s="875"/>
      <c r="AC25" s="875"/>
      <c r="AD25" s="875"/>
    </row>
    <row r="26" spans="2:30" ht="23.1" customHeight="1" x14ac:dyDescent="0.15">
      <c r="B26" s="883"/>
      <c r="C26" s="875"/>
      <c r="D26" s="885"/>
      <c r="E26" s="875"/>
      <c r="F26" s="875"/>
      <c r="G26" s="875"/>
      <c r="H26" s="875"/>
      <c r="I26" s="875"/>
      <c r="J26" s="875"/>
      <c r="K26" s="875"/>
      <c r="L26" s="875"/>
      <c r="M26" s="875"/>
      <c r="N26" s="875"/>
      <c r="O26" s="875"/>
      <c r="P26" s="875"/>
      <c r="Q26" s="875"/>
      <c r="R26" s="875"/>
      <c r="S26" s="875"/>
      <c r="T26" s="875"/>
      <c r="U26" s="875"/>
      <c r="V26" s="875"/>
      <c r="W26" s="875"/>
      <c r="X26" s="875"/>
      <c r="Y26" s="875"/>
      <c r="Z26" s="875"/>
      <c r="AA26" s="875"/>
      <c r="AB26" s="875"/>
      <c r="AC26" s="875"/>
      <c r="AD26" s="875"/>
    </row>
    <row r="27" spans="2:30" ht="23.1" customHeight="1" x14ac:dyDescent="0.15">
      <c r="B27" s="883"/>
      <c r="C27" s="875"/>
      <c r="D27" s="875"/>
      <c r="E27" s="875"/>
      <c r="F27" s="875"/>
      <c r="G27" s="875"/>
      <c r="H27" s="875"/>
      <c r="I27" s="875"/>
      <c r="J27" s="875"/>
      <c r="K27" s="875"/>
      <c r="L27" s="875"/>
      <c r="M27" s="875"/>
      <c r="N27" s="875"/>
      <c r="O27" s="875"/>
      <c r="P27" s="875"/>
      <c r="Q27" s="875"/>
      <c r="R27" s="875"/>
      <c r="S27" s="875"/>
      <c r="T27" s="875"/>
      <c r="U27" s="875"/>
      <c r="V27" s="875"/>
      <c r="W27" s="875"/>
      <c r="X27" s="875"/>
      <c r="Y27" s="875"/>
      <c r="Z27" s="875"/>
      <c r="AA27" s="875"/>
      <c r="AB27" s="875"/>
      <c r="AC27" s="875"/>
      <c r="AD27" s="875"/>
    </row>
    <row r="28" spans="2:30" ht="23.1" customHeight="1" x14ac:dyDescent="0.15">
      <c r="B28" s="883"/>
      <c r="C28" s="875"/>
      <c r="D28" s="875"/>
      <c r="E28" s="875"/>
      <c r="F28" s="875"/>
      <c r="G28" s="875"/>
      <c r="H28" s="875"/>
      <c r="I28" s="875"/>
      <c r="J28" s="875"/>
      <c r="K28" s="875"/>
      <c r="L28" s="875"/>
      <c r="M28" s="875"/>
      <c r="N28" s="875"/>
      <c r="O28" s="875"/>
      <c r="P28" s="875"/>
      <c r="Q28" s="875"/>
      <c r="R28" s="875"/>
      <c r="S28" s="875"/>
      <c r="T28" s="875"/>
      <c r="U28" s="875"/>
      <c r="V28" s="875"/>
      <c r="W28" s="875"/>
      <c r="X28" s="875"/>
      <c r="Y28" s="875"/>
      <c r="Z28" s="875"/>
      <c r="AA28" s="875"/>
      <c r="AB28" s="875"/>
      <c r="AC28" s="875"/>
      <c r="AD28" s="875"/>
    </row>
    <row r="29" spans="2:30" ht="23.1" customHeight="1" x14ac:dyDescent="0.15">
      <c r="B29" s="883"/>
      <c r="C29" s="875"/>
      <c r="D29" s="875"/>
      <c r="E29" s="875"/>
      <c r="F29" s="875"/>
      <c r="G29" s="875"/>
      <c r="H29" s="875"/>
      <c r="I29" s="875"/>
      <c r="J29" s="875"/>
      <c r="K29" s="875"/>
      <c r="L29" s="875"/>
      <c r="M29" s="875"/>
      <c r="N29" s="875"/>
      <c r="O29" s="875"/>
      <c r="P29" s="875"/>
      <c r="Q29" s="875"/>
      <c r="R29" s="875"/>
      <c r="S29" s="875"/>
      <c r="T29" s="875"/>
      <c r="U29" s="875"/>
      <c r="V29" s="875"/>
      <c r="W29" s="875"/>
      <c r="X29" s="875"/>
      <c r="Y29" s="875"/>
      <c r="Z29" s="875"/>
      <c r="AA29" s="875"/>
      <c r="AB29" s="875"/>
      <c r="AC29" s="875"/>
      <c r="AD29" s="875"/>
    </row>
    <row r="30" spans="2:30" ht="23.1" customHeight="1" x14ac:dyDescent="0.15">
      <c r="B30" s="883"/>
      <c r="C30" s="875"/>
      <c r="D30" s="875"/>
      <c r="E30" s="875"/>
      <c r="F30" s="875"/>
      <c r="G30" s="875"/>
      <c r="H30" s="875"/>
      <c r="I30" s="875"/>
      <c r="J30" s="875"/>
      <c r="K30" s="875"/>
      <c r="L30" s="875"/>
      <c r="M30" s="875"/>
      <c r="N30" s="875"/>
      <c r="O30" s="875"/>
      <c r="P30" s="875"/>
      <c r="Q30" s="875"/>
      <c r="R30" s="875"/>
      <c r="S30" s="875"/>
      <c r="T30" s="875"/>
      <c r="U30" s="875"/>
      <c r="V30" s="875"/>
      <c r="W30" s="875"/>
      <c r="X30" s="875"/>
      <c r="Y30" s="875"/>
      <c r="Z30" s="875"/>
      <c r="AA30" s="875"/>
      <c r="AB30" s="875"/>
      <c r="AC30" s="875"/>
      <c r="AD30" s="875"/>
    </row>
    <row r="31" spans="2:30" ht="23.1" customHeight="1" x14ac:dyDescent="0.15">
      <c r="B31" s="883"/>
      <c r="C31" s="875"/>
      <c r="D31" s="875"/>
      <c r="E31" s="875"/>
      <c r="F31" s="875"/>
      <c r="G31" s="875"/>
      <c r="H31" s="875"/>
      <c r="I31" s="875"/>
      <c r="J31" s="875"/>
      <c r="K31" s="875"/>
      <c r="L31" s="875"/>
      <c r="M31" s="875"/>
      <c r="N31" s="875"/>
      <c r="O31" s="875"/>
      <c r="P31" s="875"/>
      <c r="Q31" s="875"/>
      <c r="R31" s="875"/>
      <c r="S31" s="875"/>
      <c r="T31" s="875"/>
      <c r="U31" s="875"/>
      <c r="V31" s="875"/>
      <c r="W31" s="875"/>
      <c r="X31" s="875"/>
      <c r="Y31" s="875"/>
      <c r="Z31" s="875"/>
      <c r="AA31" s="875"/>
      <c r="AB31" s="875"/>
      <c r="AC31" s="875"/>
      <c r="AD31" s="875"/>
    </row>
    <row r="32" spans="2:30" ht="23.1" customHeight="1" x14ac:dyDescent="0.15">
      <c r="B32" s="883"/>
      <c r="C32" s="875"/>
      <c r="D32" s="875"/>
      <c r="E32" s="875"/>
      <c r="F32" s="875"/>
      <c r="G32" s="875"/>
      <c r="H32" s="875"/>
      <c r="I32" s="875"/>
      <c r="J32" s="875"/>
      <c r="K32" s="875"/>
      <c r="L32" s="875"/>
      <c r="M32" s="875"/>
      <c r="N32" s="875"/>
      <c r="O32" s="875"/>
      <c r="P32" s="875"/>
      <c r="Q32" s="875"/>
      <c r="R32" s="875"/>
      <c r="S32" s="875"/>
      <c r="T32" s="875"/>
      <c r="U32" s="875"/>
      <c r="V32" s="875"/>
      <c r="W32" s="875"/>
      <c r="X32" s="875"/>
      <c r="Y32" s="875"/>
      <c r="Z32" s="875"/>
      <c r="AA32" s="875"/>
      <c r="AB32" s="875"/>
      <c r="AC32" s="875"/>
      <c r="AD32" s="875"/>
    </row>
    <row r="33" spans="2:30" ht="23.1" customHeight="1" x14ac:dyDescent="0.15">
      <c r="B33" s="883"/>
      <c r="C33" s="875"/>
      <c r="D33" s="875"/>
      <c r="E33" s="875"/>
      <c r="F33" s="875"/>
      <c r="G33" s="875"/>
      <c r="H33" s="875"/>
      <c r="I33" s="875"/>
      <c r="J33" s="875"/>
      <c r="K33" s="875"/>
      <c r="L33" s="875"/>
      <c r="M33" s="875"/>
      <c r="N33" s="875"/>
      <c r="O33" s="875"/>
      <c r="P33" s="875"/>
      <c r="Q33" s="875"/>
      <c r="R33" s="875"/>
      <c r="S33" s="875"/>
      <c r="T33" s="875"/>
      <c r="U33" s="875"/>
      <c r="V33" s="875"/>
      <c r="W33" s="875"/>
      <c r="X33" s="875"/>
      <c r="Y33" s="875"/>
      <c r="Z33" s="875"/>
      <c r="AA33" s="875"/>
      <c r="AB33" s="875"/>
      <c r="AC33" s="875"/>
      <c r="AD33" s="875"/>
    </row>
    <row r="34" spans="2:30" ht="23.1" customHeight="1" x14ac:dyDescent="0.15">
      <c r="B34" s="883"/>
      <c r="C34" s="875"/>
      <c r="D34" s="875"/>
      <c r="E34" s="875"/>
      <c r="F34" s="875"/>
      <c r="G34" s="875"/>
      <c r="H34" s="875"/>
      <c r="I34" s="875"/>
      <c r="J34" s="875"/>
      <c r="K34" s="875"/>
      <c r="L34" s="875"/>
      <c r="M34" s="875"/>
      <c r="N34" s="875"/>
      <c r="O34" s="875"/>
      <c r="P34" s="875"/>
      <c r="Q34" s="875"/>
      <c r="R34" s="875"/>
      <c r="S34" s="875"/>
      <c r="T34" s="875"/>
      <c r="U34" s="875"/>
      <c r="V34" s="875"/>
      <c r="W34" s="875"/>
      <c r="X34" s="875"/>
      <c r="Y34" s="875"/>
      <c r="Z34" s="875"/>
      <c r="AA34" s="875"/>
      <c r="AB34" s="875"/>
      <c r="AC34" s="875"/>
      <c r="AD34" s="875"/>
    </row>
    <row r="35" spans="2:30" ht="23.1" customHeight="1" x14ac:dyDescent="0.15">
      <c r="B35" s="886" t="s">
        <v>170</v>
      </c>
      <c r="C35" s="887"/>
      <c r="D35" s="887"/>
    </row>
    <row r="36" spans="2:30" ht="23.1" customHeight="1" x14ac:dyDescent="0.15">
      <c r="B36" s="877"/>
    </row>
    <row r="37" spans="2:30" ht="23.1" customHeight="1" x14ac:dyDescent="0.15">
      <c r="B37" s="888" t="s">
        <v>177</v>
      </c>
      <c r="C37" s="889" t="s">
        <v>176</v>
      </c>
      <c r="D37" s="890"/>
      <c r="E37" s="891"/>
    </row>
    <row r="38" spans="2:30" ht="23.1" customHeight="1" x14ac:dyDescent="0.15">
      <c r="B38" s="888"/>
      <c r="C38" s="892" t="s">
        <v>284</v>
      </c>
    </row>
    <row r="39" spans="2:30" ht="23.1" customHeight="1" x14ac:dyDescent="0.15">
      <c r="B39" s="888"/>
      <c r="D39" s="892" t="s">
        <v>285</v>
      </c>
    </row>
    <row r="40" spans="2:30" ht="23.1" customHeight="1" x14ac:dyDescent="0.15">
      <c r="B40" s="888"/>
      <c r="C40" s="893"/>
      <c r="D40" s="894" t="s">
        <v>282</v>
      </c>
    </row>
    <row r="41" spans="2:30" ht="23.1" customHeight="1" x14ac:dyDescent="0.15">
      <c r="B41" s="888"/>
      <c r="C41" s="895"/>
      <c r="D41" s="895"/>
      <c r="E41" s="895"/>
      <c r="F41" s="895"/>
      <c r="G41" s="895"/>
      <c r="H41" s="896"/>
    </row>
    <row r="42" spans="2:30" ht="23.1" customHeight="1" x14ac:dyDescent="0.15">
      <c r="B42" s="888"/>
      <c r="C42" s="895"/>
      <c r="D42" s="895"/>
      <c r="E42" s="895"/>
      <c r="F42" s="895"/>
      <c r="G42" s="895"/>
      <c r="H42" s="896"/>
    </row>
    <row r="43" spans="2:30" ht="23.1" customHeight="1" x14ac:dyDescent="0.15">
      <c r="B43" s="888"/>
      <c r="C43" s="895"/>
      <c r="D43" s="896"/>
      <c r="E43" s="896"/>
      <c r="F43" s="896"/>
      <c r="G43" s="896"/>
      <c r="H43" s="896"/>
    </row>
    <row r="44" spans="2:30" ht="23.1" customHeight="1" x14ac:dyDescent="0.15">
      <c r="B44" s="888"/>
      <c r="C44" s="893"/>
      <c r="D44" s="897"/>
    </row>
    <row r="45" spans="2:30" ht="23.1" customHeight="1" x14ac:dyDescent="0.15">
      <c r="B45" s="888"/>
      <c r="C45" s="893"/>
      <c r="D45" s="897"/>
    </row>
    <row r="46" spans="2:30" ht="23.1" customHeight="1" x14ac:dyDescent="0.15">
      <c r="B46" s="888"/>
      <c r="C46" s="893"/>
      <c r="D46" s="897"/>
    </row>
    <row r="47" spans="2:30" ht="23.1" customHeight="1" x14ac:dyDescent="0.15">
      <c r="B47" s="888"/>
      <c r="C47" s="893"/>
      <c r="D47" s="897"/>
    </row>
    <row r="48" spans="2:30" ht="23.1" customHeight="1" x14ac:dyDescent="0.15">
      <c r="B48" s="888"/>
      <c r="C48" s="893"/>
      <c r="D48" s="897"/>
    </row>
    <row r="49" spans="2:14" ht="23.1" customHeight="1" x14ac:dyDescent="0.15">
      <c r="B49" s="888"/>
      <c r="C49" s="893"/>
      <c r="D49" s="897"/>
    </row>
    <row r="50" spans="2:14" ht="22.5" customHeight="1" x14ac:dyDescent="0.15">
      <c r="B50" s="888"/>
      <c r="C50" s="893"/>
      <c r="D50" s="897"/>
    </row>
    <row r="51" spans="2:14" ht="22.5" customHeight="1" x14ac:dyDescent="0.15">
      <c r="B51" s="888"/>
      <c r="C51" s="893"/>
      <c r="D51" s="897"/>
    </row>
    <row r="52" spans="2:14" ht="23.1" customHeight="1" x14ac:dyDescent="0.15">
      <c r="B52" s="888"/>
      <c r="C52" s="895" t="s">
        <v>283</v>
      </c>
      <c r="D52" s="897"/>
    </row>
    <row r="53" spans="2:14" ht="23.1" customHeight="1" x14ac:dyDescent="0.15">
      <c r="B53" s="888"/>
      <c r="C53" s="895" t="s">
        <v>387</v>
      </c>
      <c r="D53" s="897"/>
    </row>
    <row r="54" spans="2:14" ht="23.1" customHeight="1" x14ac:dyDescent="0.15">
      <c r="B54" s="888"/>
      <c r="C54" s="895" t="s">
        <v>181</v>
      </c>
      <c r="D54" s="897"/>
      <c r="N54" s="898"/>
    </row>
    <row r="55" spans="2:14" ht="23.1" customHeight="1" x14ac:dyDescent="0.15">
      <c r="B55" s="888"/>
      <c r="C55" s="899" t="s">
        <v>180</v>
      </c>
      <c r="D55" s="897"/>
    </row>
    <row r="56" spans="2:14" ht="10.5" customHeight="1" x14ac:dyDescent="0.15">
      <c r="B56" s="888"/>
      <c r="C56" s="895"/>
      <c r="D56" s="900" t="s">
        <v>151</v>
      </c>
      <c r="F56" s="900"/>
    </row>
    <row r="57" spans="2:14" ht="23.1" customHeight="1" x14ac:dyDescent="0.15">
      <c r="B57" s="888"/>
      <c r="C57" s="895"/>
      <c r="D57" s="897"/>
    </row>
    <row r="58" spans="2:14" ht="23.1" customHeight="1" x14ac:dyDescent="0.15">
      <c r="B58" s="888"/>
      <c r="C58" s="895"/>
      <c r="D58" s="897"/>
    </row>
    <row r="59" spans="2:14" ht="23.1" customHeight="1" x14ac:dyDescent="0.15">
      <c r="B59" s="888"/>
      <c r="C59" s="895"/>
      <c r="D59" s="897"/>
    </row>
    <row r="60" spans="2:14" ht="23.1" customHeight="1" x14ac:dyDescent="0.15">
      <c r="B60" s="888"/>
      <c r="C60" s="895"/>
      <c r="D60" s="897"/>
    </row>
    <row r="61" spans="2:14" ht="23.1" customHeight="1" x14ac:dyDescent="0.15">
      <c r="B61" s="888"/>
      <c r="C61" s="893"/>
    </row>
    <row r="62" spans="2:14" ht="23.1" customHeight="1" x14ac:dyDescent="0.15">
      <c r="B62" s="888"/>
      <c r="C62" s="893"/>
    </row>
    <row r="63" spans="2:14" ht="23.1" customHeight="1" x14ac:dyDescent="0.15">
      <c r="B63" s="888"/>
      <c r="C63" s="893"/>
    </row>
    <row r="64" spans="2:14" ht="23.1" customHeight="1" x14ac:dyDescent="0.15">
      <c r="B64" s="888"/>
      <c r="C64" s="893"/>
    </row>
    <row r="65" spans="2:6" ht="23.1" customHeight="1" x14ac:dyDescent="0.15">
      <c r="B65" s="888"/>
      <c r="C65" s="893"/>
    </row>
    <row r="66" spans="2:6" ht="23.1" customHeight="1" x14ac:dyDescent="0.15">
      <c r="B66" s="888"/>
      <c r="C66" s="893"/>
    </row>
    <row r="67" spans="2:6" ht="23.1" customHeight="1" x14ac:dyDescent="0.15">
      <c r="B67" s="888"/>
      <c r="C67" s="893"/>
    </row>
    <row r="68" spans="2:6" ht="23.1" customHeight="1" x14ac:dyDescent="0.15">
      <c r="B68" s="888"/>
      <c r="C68" s="893"/>
    </row>
    <row r="69" spans="2:6" ht="23.1" customHeight="1" x14ac:dyDescent="0.15">
      <c r="B69" s="888"/>
      <c r="C69" s="893"/>
    </row>
    <row r="70" spans="2:6" ht="23.1" customHeight="1" x14ac:dyDescent="0.15">
      <c r="B70" s="888"/>
      <c r="C70" s="901" t="s">
        <v>388</v>
      </c>
    </row>
    <row r="71" spans="2:6" ht="23.1" customHeight="1" x14ac:dyDescent="0.15">
      <c r="B71" s="888"/>
      <c r="C71" s="901" t="s">
        <v>260</v>
      </c>
    </row>
    <row r="72" spans="2:6" ht="23.1" customHeight="1" x14ac:dyDescent="0.15">
      <c r="B72" s="888"/>
      <c r="C72" s="893"/>
    </row>
    <row r="73" spans="2:6" ht="23.1" customHeight="1" x14ac:dyDescent="0.15">
      <c r="B73" s="888"/>
      <c r="C73" s="893"/>
    </row>
    <row r="74" spans="2:6" ht="23.1" customHeight="1" x14ac:dyDescent="0.15">
      <c r="B74" s="888"/>
      <c r="C74" s="893"/>
    </row>
    <row r="75" spans="2:6" ht="23.1" customHeight="1" x14ac:dyDescent="0.15">
      <c r="B75" s="888"/>
      <c r="C75" s="893"/>
    </row>
    <row r="76" spans="2:6" ht="23.1" customHeight="1" x14ac:dyDescent="0.15">
      <c r="B76" s="888"/>
      <c r="C76" s="893"/>
    </row>
    <row r="77" spans="2:6" ht="23.1" customHeight="1" x14ac:dyDescent="0.15">
      <c r="B77" s="888"/>
      <c r="C77" s="893"/>
    </row>
    <row r="78" spans="2:6" ht="23.1" customHeight="1" x14ac:dyDescent="0.15">
      <c r="B78" s="888"/>
      <c r="C78" s="893"/>
    </row>
    <row r="79" spans="2:6" ht="13.5" customHeight="1" x14ac:dyDescent="0.15">
      <c r="B79" s="877"/>
    </row>
    <row r="80" spans="2:6" ht="23.1" customHeight="1" x14ac:dyDescent="0.15">
      <c r="B80" s="888" t="s">
        <v>177</v>
      </c>
      <c r="C80" s="889" t="s">
        <v>178</v>
      </c>
      <c r="D80" s="890"/>
      <c r="E80" s="891"/>
      <c r="F80" s="891"/>
    </row>
    <row r="81" spans="1:16" ht="11.25" customHeight="1" x14ac:dyDescent="0.15">
      <c r="B81" s="877"/>
    </row>
    <row r="82" spans="1:16" ht="21.95" customHeight="1" x14ac:dyDescent="0.15">
      <c r="B82" s="877"/>
      <c r="C82" s="901" t="s">
        <v>183</v>
      </c>
      <c r="D82" s="892"/>
      <c r="J82" s="901" t="s">
        <v>184</v>
      </c>
    </row>
    <row r="83" spans="1:16" ht="21.95" customHeight="1" x14ac:dyDescent="0.15">
      <c r="A83" s="902"/>
      <c r="B83" s="877"/>
      <c r="C83" s="895" t="s">
        <v>182</v>
      </c>
      <c r="J83" s="895" t="s">
        <v>281</v>
      </c>
    </row>
    <row r="84" spans="1:16" ht="21.95" customHeight="1" x14ac:dyDescent="0.15">
      <c r="B84" s="877"/>
      <c r="P84" s="896"/>
    </row>
    <row r="85" spans="1:16" ht="21.95" customHeight="1" x14ac:dyDescent="0.15">
      <c r="B85" s="877"/>
    </row>
    <row r="86" spans="1:16" ht="21.95" customHeight="1" x14ac:dyDescent="0.15">
      <c r="B86" s="877"/>
    </row>
    <row r="87" spans="1:16" ht="21.95" customHeight="1" x14ac:dyDescent="0.15">
      <c r="B87" s="877"/>
    </row>
    <row r="88" spans="1:16" ht="16.5" customHeight="1" x14ac:dyDescent="0.15">
      <c r="B88" s="877"/>
    </row>
    <row r="89" spans="1:16" ht="32.25" customHeight="1" x14ac:dyDescent="0.15">
      <c r="B89"/>
      <c r="C89" s="903" t="s">
        <v>383</v>
      </c>
      <c r="D89" s="896"/>
      <c r="E89" s="904"/>
      <c r="I89" s="905"/>
      <c r="J89" s="906"/>
      <c r="O89" s="907"/>
    </row>
    <row r="90" spans="1:16" ht="13.5" customHeight="1" x14ac:dyDescent="0.15">
      <c r="B90"/>
      <c r="C90" s="908"/>
      <c r="D90" s="909" t="s">
        <v>385</v>
      </c>
      <c r="E90" s="910"/>
      <c r="F90" s="911"/>
      <c r="G90" s="912"/>
      <c r="I90" s="910"/>
      <c r="J90" s="911"/>
      <c r="L90" s="910"/>
      <c r="M90" s="910"/>
    </row>
    <row r="91" spans="1:16" ht="30" customHeight="1" x14ac:dyDescent="0.15">
      <c r="B91"/>
      <c r="C91" s="903" t="s">
        <v>384</v>
      </c>
      <c r="D91" s="913"/>
      <c r="G91" s="914"/>
      <c r="H91" s="914"/>
    </row>
    <row r="92" spans="1:16" ht="13.5" customHeight="1" x14ac:dyDescent="0.15">
      <c r="B92"/>
      <c r="C92" s="908"/>
      <c r="D92" s="909" t="s">
        <v>385</v>
      </c>
      <c r="E92" s="910"/>
      <c r="F92" s="911"/>
      <c r="G92" s="912"/>
      <c r="I92" s="910"/>
      <c r="J92" s="911"/>
      <c r="L92" s="910"/>
      <c r="M92" s="910"/>
    </row>
    <row r="93" spans="1:16" ht="21.95" customHeight="1" x14ac:dyDescent="0.15">
      <c r="B93" s="877"/>
      <c r="C93" s="896"/>
      <c r="D93" s="896"/>
      <c r="E93" s="896"/>
      <c r="F93" s="896"/>
      <c r="G93" s="896"/>
      <c r="H93" s="896"/>
      <c r="I93" s="896"/>
      <c r="J93" s="896"/>
      <c r="K93" s="896"/>
    </row>
    <row r="94" spans="1:16" ht="21.95" customHeight="1" x14ac:dyDescent="0.15">
      <c r="B94" s="877"/>
    </row>
    <row r="95" spans="1:16" ht="21.95" customHeight="1" x14ac:dyDescent="0.15">
      <c r="B95" s="877"/>
    </row>
    <row r="96" spans="1:16" ht="21.95" customHeight="1" x14ac:dyDescent="0.15">
      <c r="B96" s="877"/>
    </row>
    <row r="97" spans="2:5" ht="21.95" customHeight="1" x14ac:dyDescent="0.15">
      <c r="B97" s="877"/>
      <c r="C97" s="901" t="s">
        <v>132</v>
      </c>
    </row>
    <row r="98" spans="2:5" ht="21.95" customHeight="1" x14ac:dyDescent="0.15">
      <c r="C98" s="895" t="s">
        <v>185</v>
      </c>
    </row>
    <row r="99" spans="2:5" ht="21.95" customHeight="1" x14ac:dyDescent="0.15">
      <c r="B99" s="877"/>
      <c r="D99" s="915" t="s">
        <v>186</v>
      </c>
    </row>
    <row r="100" spans="2:5" ht="21.95" customHeight="1" x14ac:dyDescent="0.15">
      <c r="B100" s="877"/>
    </row>
    <row r="101" spans="2:5" ht="21.95" customHeight="1" x14ac:dyDescent="0.15">
      <c r="B101" s="877"/>
    </row>
    <row r="102" spans="2:5" ht="21.95" customHeight="1" x14ac:dyDescent="0.15">
      <c r="B102" s="877"/>
    </row>
    <row r="103" spans="2:5" ht="21.95" customHeight="1" x14ac:dyDescent="0.15">
      <c r="B103" s="877"/>
    </row>
    <row r="104" spans="2:5" ht="21.95" customHeight="1" x14ac:dyDescent="0.15">
      <c r="B104" s="877"/>
    </row>
    <row r="105" spans="2:5" ht="21.95" customHeight="1" x14ac:dyDescent="0.15">
      <c r="B105" s="877"/>
    </row>
    <row r="106" spans="2:5" ht="21.95" customHeight="1" x14ac:dyDescent="0.15">
      <c r="B106" s="877"/>
    </row>
    <row r="107" spans="2:5" ht="21.95" customHeight="1" x14ac:dyDescent="0.15">
      <c r="B107"/>
      <c r="C107" s="916" t="s">
        <v>177</v>
      </c>
      <c r="D107" s="894" t="s">
        <v>364</v>
      </c>
      <c r="E107" s="917"/>
    </row>
    <row r="108" spans="2:5" ht="12" customHeight="1" x14ac:dyDescent="0.15">
      <c r="B108"/>
    </row>
    <row r="109" spans="2:5" ht="21.95" customHeight="1" x14ac:dyDescent="0.15">
      <c r="B109"/>
      <c r="D109" s="212" t="s">
        <v>203</v>
      </c>
    </row>
    <row r="110" spans="2:5" ht="21.95" customHeight="1" x14ac:dyDescent="0.15">
      <c r="B110"/>
    </row>
    <row r="111" spans="2:5" ht="21.95" customHeight="1" x14ac:dyDescent="0.15">
      <c r="B111"/>
    </row>
    <row r="112" spans="2:5" ht="21.95" customHeight="1" x14ac:dyDescent="0.15">
      <c r="B112"/>
    </row>
    <row r="113" customFormat="1" ht="21.95" customHeight="1" x14ac:dyDescent="0.15"/>
    <row r="114" customFormat="1" ht="21.95" customHeight="1" x14ac:dyDescent="0.15"/>
    <row r="115" customFormat="1" ht="21.95" customHeight="1" x14ac:dyDescent="0.15"/>
    <row r="116" customFormat="1" ht="21.95" customHeight="1" x14ac:dyDescent="0.15"/>
    <row r="117" customFormat="1" ht="21.95" customHeight="1" x14ac:dyDescent="0.15"/>
    <row r="118" customFormat="1" ht="21.95" customHeight="1" x14ac:dyDescent="0.15"/>
    <row r="119" customFormat="1" ht="21.95" customHeight="1" x14ac:dyDescent="0.15"/>
    <row r="120" customFormat="1" ht="21.95" customHeight="1" x14ac:dyDescent="0.15"/>
    <row r="121" customFormat="1" ht="21.95" customHeight="1" x14ac:dyDescent="0.15"/>
    <row r="122" customFormat="1" ht="21.95" customHeight="1" x14ac:dyDescent="0.15"/>
    <row r="123" customFormat="1" ht="21.95" customHeight="1" x14ac:dyDescent="0.15"/>
    <row r="124" customFormat="1" ht="21.95" customHeight="1" x14ac:dyDescent="0.15"/>
    <row r="125" customFormat="1" ht="21.95" customHeight="1" x14ac:dyDescent="0.15"/>
    <row r="126" customFormat="1" ht="21.95" customHeight="1" x14ac:dyDescent="0.15"/>
    <row r="127" customFormat="1" ht="21.95" customHeight="1" x14ac:dyDescent="0.15"/>
    <row r="128" customFormat="1" ht="21.95" customHeight="1" x14ac:dyDescent="0.15"/>
    <row r="129" spans="2:5" ht="21.95" customHeight="1" x14ac:dyDescent="0.15">
      <c r="B129" s="877"/>
    </row>
    <row r="130" spans="2:5" ht="11.25" customHeight="1" x14ac:dyDescent="0.15">
      <c r="B130" s="877"/>
    </row>
    <row r="131" spans="2:5" ht="21.95" customHeight="1" x14ac:dyDescent="0.15">
      <c r="B131" s="916" t="s">
        <v>177</v>
      </c>
      <c r="C131" s="918" t="s">
        <v>359</v>
      </c>
      <c r="D131" s="919"/>
      <c r="E131" s="919"/>
    </row>
    <row r="132" spans="2:5" ht="10.5" customHeight="1" x14ac:dyDescent="0.15">
      <c r="B132" s="877"/>
      <c r="C132" s="920"/>
    </row>
    <row r="133" spans="2:5" ht="21.95" customHeight="1" x14ac:dyDescent="0.15">
      <c r="B133" s="877"/>
      <c r="C133" s="135" t="s">
        <v>360</v>
      </c>
    </row>
    <row r="134" spans="2:5" ht="21.95" customHeight="1" x14ac:dyDescent="0.15">
      <c r="B134" s="877"/>
    </row>
    <row r="135" spans="2:5" ht="21.95" customHeight="1" x14ac:dyDescent="0.15">
      <c r="B135" s="877"/>
    </row>
    <row r="136" spans="2:5" ht="21.95" customHeight="1" x14ac:dyDescent="0.15">
      <c r="B136" s="877"/>
    </row>
    <row r="137" spans="2:5" ht="21.95" customHeight="1" x14ac:dyDescent="0.15">
      <c r="B137" s="877"/>
    </row>
    <row r="138" spans="2:5" ht="21.95" customHeight="1" x14ac:dyDescent="0.15">
      <c r="B138" s="877"/>
    </row>
    <row r="139" spans="2:5" ht="21.95" customHeight="1" x14ac:dyDescent="0.15">
      <c r="B139" s="877"/>
    </row>
    <row r="140" spans="2:5" ht="21.95" customHeight="1" x14ac:dyDescent="0.15">
      <c r="B140" s="877"/>
    </row>
    <row r="141" spans="2:5" ht="21.95" customHeight="1" x14ac:dyDescent="0.15">
      <c r="B141" s="877"/>
    </row>
    <row r="142" spans="2:5" ht="21.95" customHeight="1" x14ac:dyDescent="0.15">
      <c r="B142" s="877"/>
    </row>
    <row r="143" spans="2:5" ht="21.95" customHeight="1" x14ac:dyDescent="0.15">
      <c r="B143" s="877"/>
    </row>
    <row r="144" spans="2:5" ht="21.95" customHeight="1" x14ac:dyDescent="0.15">
      <c r="B144" s="877"/>
    </row>
    <row r="145" spans="2:7" ht="21.95" customHeight="1" x14ac:dyDescent="0.15">
      <c r="B145" s="877"/>
    </row>
    <row r="146" spans="2:7" ht="21.95" customHeight="1" x14ac:dyDescent="0.15">
      <c r="B146" s="877"/>
    </row>
    <row r="147" spans="2:7" ht="21.95" customHeight="1" x14ac:dyDescent="0.15">
      <c r="B147" s="877"/>
    </row>
    <row r="148" spans="2:7" ht="21.95" customHeight="1" x14ac:dyDescent="0.15">
      <c r="B148" s="877"/>
    </row>
    <row r="149" spans="2:7" ht="21.95" customHeight="1" x14ac:dyDescent="0.15">
      <c r="B149" s="877"/>
    </row>
    <row r="150" spans="2:7" ht="21.95" customHeight="1" x14ac:dyDescent="0.15">
      <c r="B150" s="877"/>
    </row>
    <row r="151" spans="2:7" ht="21.95" customHeight="1" x14ac:dyDescent="0.15">
      <c r="B151" s="877"/>
    </row>
    <row r="152" spans="2:7" ht="21.95" customHeight="1" x14ac:dyDescent="0.15">
      <c r="B152" s="877"/>
    </row>
    <row r="153" spans="2:7" ht="21.95" customHeight="1" x14ac:dyDescent="0.15">
      <c r="B153" s="877"/>
    </row>
    <row r="154" spans="2:7" ht="21.95" customHeight="1" x14ac:dyDescent="0.15">
      <c r="B154" s="877"/>
    </row>
    <row r="155" spans="2:7" ht="21.95" customHeight="1" x14ac:dyDescent="0.15">
      <c r="B155" s="916" t="s">
        <v>177</v>
      </c>
      <c r="C155" s="918" t="s">
        <v>361</v>
      </c>
      <c r="D155" s="919"/>
      <c r="E155" s="919"/>
      <c r="F155" s="919"/>
      <c r="G155" s="919"/>
    </row>
    <row r="156" spans="2:7" ht="21.95" customHeight="1" x14ac:dyDescent="0.15">
      <c r="B156" s="877"/>
      <c r="C156" s="135" t="s">
        <v>380</v>
      </c>
    </row>
    <row r="157" spans="2:7" ht="21.95" customHeight="1" x14ac:dyDescent="0.15">
      <c r="B157" s="877"/>
      <c r="D157" s="135" t="s">
        <v>187</v>
      </c>
    </row>
    <row r="158" spans="2:7" ht="21.95" customHeight="1" x14ac:dyDescent="0.15">
      <c r="B158" s="877"/>
      <c r="D158" s="135" t="s">
        <v>188</v>
      </c>
    </row>
    <row r="159" spans="2:7" ht="21.95" customHeight="1" x14ac:dyDescent="0.15">
      <c r="B159" s="877"/>
    </row>
    <row r="160" spans="2:7" ht="21.95" customHeight="1" x14ac:dyDescent="0.15">
      <c r="B160" s="877"/>
    </row>
    <row r="161" spans="2:2" ht="21.95" customHeight="1" x14ac:dyDescent="0.15">
      <c r="B161" s="877"/>
    </row>
    <row r="162" spans="2:2" ht="21.95" customHeight="1" x14ac:dyDescent="0.15">
      <c r="B162" s="877"/>
    </row>
    <row r="163" spans="2:2" ht="21.95" customHeight="1" x14ac:dyDescent="0.15">
      <c r="B163" s="877"/>
    </row>
    <row r="164" spans="2:2" ht="21.95" customHeight="1" x14ac:dyDescent="0.15">
      <c r="B164" s="877"/>
    </row>
    <row r="165" spans="2:2" ht="21.95" customHeight="1" x14ac:dyDescent="0.15">
      <c r="B165" s="877"/>
    </row>
    <row r="166" spans="2:2" ht="21.95" customHeight="1" x14ac:dyDescent="0.15">
      <c r="B166" s="877"/>
    </row>
    <row r="167" spans="2:2" ht="21.95" customHeight="1" x14ac:dyDescent="0.15">
      <c r="B167" s="877"/>
    </row>
    <row r="168" spans="2:2" ht="21.95" customHeight="1" x14ac:dyDescent="0.15">
      <c r="B168" s="877"/>
    </row>
    <row r="169" spans="2:2" ht="21.95" customHeight="1" x14ac:dyDescent="0.15">
      <c r="B169" s="877"/>
    </row>
    <row r="170" spans="2:2" ht="21.95" customHeight="1" x14ac:dyDescent="0.15">
      <c r="B170" s="877"/>
    </row>
    <row r="171" spans="2:2" ht="21.95" customHeight="1" x14ac:dyDescent="0.15">
      <c r="B171" s="877"/>
    </row>
    <row r="172" spans="2:2" ht="21.95" customHeight="1" x14ac:dyDescent="0.15">
      <c r="B172" s="877"/>
    </row>
    <row r="173" spans="2:2" ht="21.95" customHeight="1" x14ac:dyDescent="0.15">
      <c r="B173" s="877"/>
    </row>
    <row r="174" spans="2:2" ht="21.95" customHeight="1" x14ac:dyDescent="0.15">
      <c r="B174" s="877"/>
    </row>
    <row r="175" spans="2:2" ht="21.95" customHeight="1" x14ac:dyDescent="0.15">
      <c r="B175" s="877"/>
    </row>
    <row r="176" spans="2:2" ht="21.95" customHeight="1" x14ac:dyDescent="0.15">
      <c r="B176" s="877"/>
    </row>
    <row r="177" spans="2:23" ht="21.95" customHeight="1" x14ac:dyDescent="0.15">
      <c r="B177" s="877"/>
    </row>
    <row r="178" spans="2:23" ht="21.95" customHeight="1" x14ac:dyDescent="0.15">
      <c r="B178" s="877"/>
    </row>
    <row r="179" spans="2:23" ht="21.95" customHeight="1" x14ac:dyDescent="0.15">
      <c r="B179" s="877"/>
    </row>
    <row r="180" spans="2:23" ht="21.95" customHeight="1" x14ac:dyDescent="0.15">
      <c r="B180" s="877"/>
    </row>
    <row r="181" spans="2:23" ht="21.95" customHeight="1" x14ac:dyDescent="0.15">
      <c r="B181" s="877"/>
    </row>
    <row r="182" spans="2:23" ht="21.95" customHeight="1" x14ac:dyDescent="0.15">
      <c r="B182" s="877"/>
      <c r="R182" s="921" t="s">
        <v>382</v>
      </c>
    </row>
    <row r="183" spans="2:23" ht="21.95" customHeight="1" x14ac:dyDescent="0.15">
      <c r="B183" s="916" t="s">
        <v>177</v>
      </c>
      <c r="C183" s="922" t="s">
        <v>362</v>
      </c>
      <c r="D183" s="923"/>
      <c r="E183" s="923"/>
      <c r="F183" s="923"/>
      <c r="G183" s="923"/>
      <c r="W183" s="921"/>
    </row>
    <row r="184" spans="2:23" ht="21.95" customHeight="1" x14ac:dyDescent="0.15">
      <c r="B184" s="877"/>
    </row>
    <row r="185" spans="2:23" ht="21.95" customHeight="1" x14ac:dyDescent="0.15">
      <c r="B185" s="877"/>
    </row>
    <row r="186" spans="2:23" ht="21.95" customHeight="1" x14ac:dyDescent="0.15">
      <c r="B186" s="877"/>
    </row>
    <row r="187" spans="2:23" ht="21.95" customHeight="1" x14ac:dyDescent="0.15">
      <c r="B187" s="877"/>
    </row>
    <row r="188" spans="2:23" ht="21.95" customHeight="1" x14ac:dyDescent="0.15">
      <c r="B188" s="877"/>
    </row>
    <row r="189" spans="2:23" ht="21.95" customHeight="1" x14ac:dyDescent="0.15">
      <c r="B189" s="877"/>
    </row>
    <row r="190" spans="2:23" ht="21.95" customHeight="1" x14ac:dyDescent="0.15">
      <c r="B190" s="877"/>
    </row>
    <row r="191" spans="2:23" ht="21.95" customHeight="1" x14ac:dyDescent="0.15">
      <c r="B191" s="877"/>
    </row>
    <row r="192" spans="2:23" ht="21.95" customHeight="1" x14ac:dyDescent="0.15">
      <c r="B192" s="877"/>
    </row>
    <row r="193" spans="2:8" ht="21.95" customHeight="1" x14ac:dyDescent="0.15">
      <c r="B193" s="877"/>
    </row>
    <row r="194" spans="2:8" ht="21.95" customHeight="1" x14ac:dyDescent="0.15">
      <c r="B194" s="877"/>
    </row>
    <row r="195" spans="2:8" ht="21.95" customHeight="1" x14ac:dyDescent="0.15">
      <c r="B195" s="877"/>
    </row>
    <row r="196" spans="2:8" ht="21.95" customHeight="1" x14ac:dyDescent="0.15">
      <c r="B196" s="877"/>
    </row>
    <row r="197" spans="2:8" ht="21.95" customHeight="1" x14ac:dyDescent="0.15">
      <c r="B197" s="877"/>
    </row>
    <row r="198" spans="2:8" ht="21.95" customHeight="1" x14ac:dyDescent="0.15">
      <c r="B198" s="877"/>
    </row>
    <row r="199" spans="2:8" ht="21.95" customHeight="1" x14ac:dyDescent="0.15">
      <c r="B199" s="877"/>
    </row>
    <row r="200" spans="2:8" ht="21.95" customHeight="1" x14ac:dyDescent="0.15">
      <c r="B200" s="877"/>
    </row>
    <row r="201" spans="2:8" ht="21.95" customHeight="1" x14ac:dyDescent="0.15">
      <c r="B201" s="877"/>
    </row>
    <row r="202" spans="2:8" ht="21.95" customHeight="1" x14ac:dyDescent="0.15">
      <c r="B202" s="877"/>
    </row>
    <row r="203" spans="2:8" ht="21.95" customHeight="1" x14ac:dyDescent="0.15">
      <c r="B203" s="877"/>
    </row>
    <row r="204" spans="2:8" ht="21.95" customHeight="1" x14ac:dyDescent="0.15">
      <c r="B204" s="877"/>
    </row>
    <row r="205" spans="2:8" ht="21.95" customHeight="1" x14ac:dyDescent="0.15">
      <c r="B205" s="877"/>
    </row>
    <row r="206" spans="2:8" ht="21.95" customHeight="1" x14ac:dyDescent="0.15">
      <c r="B206" s="877"/>
    </row>
    <row r="207" spans="2:8" ht="21.95" customHeight="1" x14ac:dyDescent="0.15">
      <c r="B207" s="877"/>
    </row>
    <row r="208" spans="2:8" ht="21.95" customHeight="1" x14ac:dyDescent="0.15">
      <c r="B208" s="916" t="s">
        <v>177</v>
      </c>
      <c r="C208" s="922" t="s">
        <v>363</v>
      </c>
      <c r="D208" s="923"/>
      <c r="E208" s="923"/>
      <c r="F208" s="923"/>
      <c r="G208" s="923"/>
      <c r="H208" s="923"/>
    </row>
    <row r="209" spans="2:12" ht="21.95" customHeight="1" x14ac:dyDescent="0.15">
      <c r="B209" s="877"/>
      <c r="C209" s="135" t="s">
        <v>381</v>
      </c>
      <c r="L209" s="135"/>
    </row>
    <row r="210" spans="2:12" ht="21.95" customHeight="1" x14ac:dyDescent="0.15">
      <c r="B210" s="877"/>
      <c r="D210" s="135" t="s">
        <v>187</v>
      </c>
    </row>
    <row r="211" spans="2:12" ht="21.95" customHeight="1" x14ac:dyDescent="0.15">
      <c r="B211" s="877"/>
      <c r="D211" s="135" t="s">
        <v>188</v>
      </c>
    </row>
    <row r="212" spans="2:12" ht="21.95" customHeight="1" x14ac:dyDescent="0.15">
      <c r="B212" s="877"/>
    </row>
    <row r="213" spans="2:12" ht="21.95" customHeight="1" x14ac:dyDescent="0.15">
      <c r="B213" s="877"/>
    </row>
    <row r="214" spans="2:12" ht="21.95" customHeight="1" x14ac:dyDescent="0.15">
      <c r="B214" s="877"/>
    </row>
    <row r="215" spans="2:12" ht="21.95" customHeight="1" x14ac:dyDescent="0.15">
      <c r="B215" s="877"/>
    </row>
    <row r="216" spans="2:12" ht="21.95" customHeight="1" x14ac:dyDescent="0.15">
      <c r="B216" s="877"/>
    </row>
    <row r="217" spans="2:12" ht="21.95" customHeight="1" x14ac:dyDescent="0.15">
      <c r="B217" s="877"/>
    </row>
    <row r="218" spans="2:12" ht="21.95" customHeight="1" x14ac:dyDescent="0.15">
      <c r="B218" s="877"/>
    </row>
    <row r="219" spans="2:12" ht="21.95" customHeight="1" x14ac:dyDescent="0.15">
      <c r="B219" s="877"/>
    </row>
    <row r="220" spans="2:12" ht="21.95" customHeight="1" x14ac:dyDescent="0.15">
      <c r="B220" s="877"/>
    </row>
    <row r="221" spans="2:12" ht="21.95" customHeight="1" x14ac:dyDescent="0.15">
      <c r="B221" s="877"/>
    </row>
    <row r="222" spans="2:12" ht="21.95" customHeight="1" x14ac:dyDescent="0.15">
      <c r="B222" s="877"/>
    </row>
    <row r="223" spans="2:12" ht="21.95" customHeight="1" x14ac:dyDescent="0.15">
      <c r="B223" s="877"/>
    </row>
    <row r="224" spans="2:12" ht="21.95" customHeight="1" x14ac:dyDescent="0.15">
      <c r="B224" s="877"/>
    </row>
    <row r="225" spans="2:15" ht="21.95" customHeight="1" x14ac:dyDescent="0.15">
      <c r="B225" s="877"/>
    </row>
    <row r="226" spans="2:15" ht="21.95" customHeight="1" x14ac:dyDescent="0.15">
      <c r="B226" s="877"/>
    </row>
    <row r="227" spans="2:15" ht="21.95" customHeight="1" x14ac:dyDescent="0.15">
      <c r="B227" s="877"/>
    </row>
    <row r="228" spans="2:15" ht="21.95" customHeight="1" x14ac:dyDescent="0.15">
      <c r="B228" s="877"/>
    </row>
    <row r="229" spans="2:15" ht="21.95" customHeight="1" x14ac:dyDescent="0.15">
      <c r="B229" s="877"/>
    </row>
    <row r="230" spans="2:15" ht="21.95" customHeight="1" x14ac:dyDescent="0.15">
      <c r="B230" s="877"/>
    </row>
    <row r="231" spans="2:15" ht="21.95" customHeight="1" x14ac:dyDescent="0.15">
      <c r="B231" s="877"/>
    </row>
    <row r="232" spans="2:15" ht="21.95" customHeight="1" x14ac:dyDescent="0.15">
      <c r="B232" s="877"/>
    </row>
    <row r="233" spans="2:15" ht="21.95" customHeight="1" x14ac:dyDescent="0.15">
      <c r="B233" s="877"/>
    </row>
    <row r="234" spans="2:15" ht="21.95" customHeight="1" x14ac:dyDescent="0.15">
      <c r="B234" s="877"/>
    </row>
    <row r="235" spans="2:15" ht="21.95" customHeight="1" x14ac:dyDescent="0.15">
      <c r="B235" s="877"/>
      <c r="N235" s="921"/>
      <c r="O235" s="921" t="s">
        <v>382</v>
      </c>
    </row>
    <row r="236" spans="2:15" ht="21" customHeight="1" x14ac:dyDescent="0.15">
      <c r="B236" s="916" t="s">
        <v>177</v>
      </c>
      <c r="C236" s="924" t="s">
        <v>369</v>
      </c>
      <c r="D236" s="925"/>
      <c r="E236" s="925"/>
      <c r="F236" s="925"/>
    </row>
    <row r="237" spans="2:15" ht="21" customHeight="1" x14ac:dyDescent="0.15">
      <c r="B237" s="877"/>
    </row>
    <row r="238" spans="2:15" ht="21" customHeight="1" x14ac:dyDescent="0.15">
      <c r="B238" s="916" t="s">
        <v>177</v>
      </c>
      <c r="C238" s="924" t="s">
        <v>365</v>
      </c>
      <c r="D238" s="925"/>
      <c r="E238" s="925"/>
    </row>
    <row r="239" spans="2:15" ht="21" customHeight="1" x14ac:dyDescent="0.15"/>
    <row r="240" spans="2:15" ht="21" customHeight="1" x14ac:dyDescent="0.15">
      <c r="B240" s="916" t="s">
        <v>177</v>
      </c>
      <c r="C240" s="926" t="s">
        <v>366</v>
      </c>
      <c r="D240" s="927"/>
      <c r="E240" s="927"/>
      <c r="F240" t="s">
        <v>373</v>
      </c>
    </row>
    <row r="241" spans="2:9" ht="21" customHeight="1" x14ac:dyDescent="0.15"/>
    <row r="242" spans="2:9" ht="21" customHeight="1" x14ac:dyDescent="0.15">
      <c r="B242" s="916" t="s">
        <v>177</v>
      </c>
      <c r="C242" s="926" t="s">
        <v>367</v>
      </c>
      <c r="D242" s="927"/>
      <c r="E242" s="927"/>
      <c r="F242" t="s">
        <v>373</v>
      </c>
    </row>
    <row r="243" spans="2:9" ht="21" customHeight="1" x14ac:dyDescent="0.15"/>
    <row r="244" spans="2:9" ht="21" customHeight="1" x14ac:dyDescent="0.15">
      <c r="B244" s="916" t="s">
        <v>177</v>
      </c>
      <c r="C244" s="918" t="s">
        <v>368</v>
      </c>
      <c r="D244" s="928"/>
      <c r="E244" s="928"/>
      <c r="F244" t="s">
        <v>372</v>
      </c>
    </row>
    <row r="245" spans="2:9" ht="21" customHeight="1" x14ac:dyDescent="0.15">
      <c r="B245" s="916"/>
      <c r="C245" s="893"/>
      <c r="D245" s="897"/>
      <c r="E245" s="897"/>
    </row>
    <row r="246" spans="2:9" ht="21" customHeight="1" x14ac:dyDescent="0.15"/>
    <row r="247" spans="2:9" ht="21" customHeight="1" x14ac:dyDescent="0.15">
      <c r="D247" s="929" t="s">
        <v>261</v>
      </c>
      <c r="E247" s="930"/>
      <c r="F247" s="930"/>
      <c r="G247" s="930"/>
      <c r="H247" s="930"/>
      <c r="I247" s="930"/>
    </row>
    <row r="248" spans="2:9" ht="21" customHeight="1" x14ac:dyDescent="0.15"/>
    <row r="249" spans="2:9" ht="21" customHeight="1" x14ac:dyDescent="0.15"/>
  </sheetData>
  <sheetProtection sheet="1" objects="1" scenarios="1"/>
  <mergeCells count="1">
    <mergeCell ref="C6:D6"/>
  </mergeCells>
  <phoneticPr fontId="3"/>
  <printOptions horizontalCentered="1"/>
  <pageMargins left="0.31496062992125984" right="0.31496062992125984" top="0.74803149606299213" bottom="0.55118110236220474" header="0.31496062992125984" footer="0.31496062992125984"/>
  <pageSetup paperSize="9" scale="55" orientation="landscape" verticalDpi="0" r:id="rId1"/>
  <headerFooter>
    <oddFooter>&amp;C&amp;P</oddFooter>
  </headerFooter>
  <rowBreaks count="6" manualBreakCount="6">
    <brk id="34" min="1" max="29" man="1"/>
    <brk id="78" min="1" max="29" man="1"/>
    <brk id="106" min="1" max="29" man="1"/>
    <brk id="153" min="1" max="29" man="1"/>
    <brk id="181" min="1" max="29" man="1"/>
    <brk id="206" min="1" max="29"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F4325-0E81-40A6-B2F6-8196AA7CE3A7}">
  <sheetPr>
    <tabColor theme="0" tint="-0.34998626667073579"/>
    <pageSetUpPr autoPageBreaks="0"/>
  </sheetPr>
  <dimension ref="B1:W44"/>
  <sheetViews>
    <sheetView showGridLines="0" zoomScale="110" zoomScaleNormal="110" zoomScaleSheetLayoutView="80" workbookViewId="0">
      <selection activeCell="K10" sqref="K10"/>
    </sheetView>
  </sheetViews>
  <sheetFormatPr defaultRowHeight="14.25" x14ac:dyDescent="0.15"/>
  <cols>
    <col min="1" max="1" width="2.625" style="541" customWidth="1"/>
    <col min="2" max="2" width="6" style="541" customWidth="1"/>
    <col min="3" max="3" width="17.625" style="541" customWidth="1"/>
    <col min="4" max="4" width="9.375" style="541" hidden="1" customWidth="1"/>
    <col min="5" max="5" width="17.625" style="541" customWidth="1"/>
    <col min="6" max="6" width="11.875" style="541" customWidth="1"/>
    <col min="7" max="7" width="17.625" style="541" customWidth="1"/>
    <col min="8" max="8" width="9.625" style="541" customWidth="1"/>
    <col min="9" max="9" width="11.625" style="541" customWidth="1"/>
    <col min="10" max="10" width="14.625" style="541" customWidth="1"/>
    <col min="11" max="12" width="11.625" style="541" customWidth="1"/>
    <col min="13" max="13" width="14.75" style="541" customWidth="1"/>
    <col min="14" max="14" width="12.375" style="541" customWidth="1"/>
    <col min="15" max="20" width="14.625" style="541" customWidth="1"/>
    <col min="21" max="21" width="14" style="541" customWidth="1"/>
    <col min="22" max="22" width="14.75" style="541" customWidth="1"/>
    <col min="23" max="23" width="12" style="541" customWidth="1"/>
    <col min="24" max="16384" width="9" style="541"/>
  </cols>
  <sheetData>
    <row r="1" spans="2:23" s="540" customFormat="1" ht="12" thickBot="1" x14ac:dyDescent="0.2">
      <c r="C1" s="540">
        <v>1</v>
      </c>
      <c r="D1" s="540">
        <v>2</v>
      </c>
      <c r="E1" s="540">
        <v>3</v>
      </c>
      <c r="F1" s="540">
        <v>4</v>
      </c>
      <c r="G1" s="540">
        <v>5</v>
      </c>
      <c r="H1" s="540">
        <v>6</v>
      </c>
      <c r="I1" s="540">
        <v>7</v>
      </c>
      <c r="J1" s="540">
        <v>8</v>
      </c>
      <c r="K1" s="540">
        <v>9</v>
      </c>
      <c r="L1" s="540">
        <v>10</v>
      </c>
      <c r="M1" s="540">
        <v>11</v>
      </c>
      <c r="N1" s="540">
        <v>12</v>
      </c>
      <c r="O1" s="540">
        <v>13</v>
      </c>
      <c r="P1" s="540">
        <v>14</v>
      </c>
      <c r="Q1" s="540">
        <v>15</v>
      </c>
      <c r="R1" s="540">
        <v>16</v>
      </c>
      <c r="S1" s="540">
        <v>17</v>
      </c>
      <c r="T1" s="540">
        <v>18</v>
      </c>
      <c r="U1" s="540">
        <v>19</v>
      </c>
      <c r="V1" s="540">
        <v>20</v>
      </c>
      <c r="W1" s="540">
        <v>21</v>
      </c>
    </row>
    <row r="2" spans="2:23" ht="38.25" customHeight="1" thickBot="1" x14ac:dyDescent="0.25">
      <c r="C2" s="542"/>
      <c r="D2" s="543"/>
      <c r="M2" s="545">
        <f>IF('1-1.従業員データ給与改定案入力画面'!$N$2="","",IF(OR('1-1.従業員データ給与改定案入力画面'!$N$2=2,'1-1.従業員データ給与改定案入力画面'!$N$2=1),"",'1-1.従業員データ給与改定案入力画面'!$N$2))</f>
        <v>3</v>
      </c>
      <c r="N2" s="546"/>
    </row>
    <row r="3" spans="2:23" ht="19.5" customHeight="1" x14ac:dyDescent="0.15">
      <c r="E3" s="547"/>
      <c r="F3" s="547"/>
      <c r="G3" s="547"/>
      <c r="J3" s="546"/>
      <c r="K3" s="546"/>
      <c r="L3" s="546"/>
      <c r="O3" s="548"/>
    </row>
    <row r="4" spans="2:23" ht="24.95" customHeight="1" x14ac:dyDescent="0.15">
      <c r="C4" s="549" t="s">
        <v>79</v>
      </c>
      <c r="D4" s="636"/>
      <c r="E4" s="718">
        <f>IF('4-1.手当等支給メニュー'!$E$4="","",'4-1.手当等支給メニュー'!$E$4)</f>
        <v>103</v>
      </c>
      <c r="F4" s="719"/>
      <c r="G4" s="719"/>
      <c r="I4" s="550"/>
      <c r="J4" s="551"/>
      <c r="K4" s="551"/>
      <c r="L4" s="551"/>
      <c r="M4" s="1078" t="s">
        <v>252</v>
      </c>
      <c r="N4" s="1078" t="s">
        <v>253</v>
      </c>
      <c r="O4" s="1078" t="s">
        <v>254</v>
      </c>
      <c r="P4" s="1079" t="s">
        <v>160</v>
      </c>
      <c r="Q4" s="552"/>
      <c r="R4" s="552"/>
      <c r="S4" s="552"/>
      <c r="T4" s="552"/>
      <c r="U4" s="553"/>
    </row>
    <row r="5" spans="2:23" ht="30" customHeight="1" x14ac:dyDescent="0.15">
      <c r="C5" s="1079" t="s">
        <v>110</v>
      </c>
      <c r="D5" s="1079"/>
      <c r="E5" s="1079"/>
      <c r="F5" s="552"/>
      <c r="G5" s="552"/>
      <c r="I5" s="552"/>
      <c r="J5" s="551"/>
      <c r="K5" s="551"/>
      <c r="L5" s="551"/>
      <c r="M5" s="1078"/>
      <c r="N5" s="1078"/>
      <c r="O5" s="1078"/>
      <c r="P5" s="1079"/>
      <c r="Q5" s="552"/>
      <c r="R5" s="552"/>
      <c r="S5" s="552"/>
      <c r="T5" s="552"/>
      <c r="U5" s="553"/>
    </row>
    <row r="6" spans="2:23" ht="28.5" customHeight="1" x14ac:dyDescent="0.15">
      <c r="C6" s="554" t="str">
        <f>IF($E$4="","",VLOOKUP($E$4,'1-1.従業員データ給与改定案入力画面'!$C$10:$AL$1010,2,0))</f>
        <v>ＡＣ</v>
      </c>
      <c r="D6" s="636"/>
      <c r="E6" s="549" t="s">
        <v>32</v>
      </c>
      <c r="F6" s="552"/>
      <c r="G6" s="552"/>
      <c r="I6" s="552"/>
      <c r="J6" s="555"/>
      <c r="K6" s="555"/>
      <c r="L6" s="555"/>
      <c r="M6" s="556">
        <f>IF($E$4="","",VLOOKUP($E$4,'1-1.従業員データ給与改定案入力画面'!$C$10:$AL$1010,31,0)-VLOOKUP($E$4,'1-1.従業員データ給与改定案入力画面'!$C$10:$AL$1010,19,0))</f>
        <v>2000</v>
      </c>
      <c r="N6" s="556">
        <f>IF($E$4="","",VLOOKUP($E$4,'1-1.従業員データ給与改定案入力画面'!$C$10:$AL$1010,32,0)-VLOOKUP($E$4,'1-1.従業員データ給与改定案入力画面'!$C$10:$AL$1010,19,0))</f>
        <v>4500</v>
      </c>
      <c r="O6" s="556">
        <f>IF($E$4="","",VLOOKUP($E$4,'1-1.従業員データ給与改定案入力画面'!$C$10:$AL$1010,30,0)-VLOOKUP($E$4,'1-1.従業員データ給与改定案入力画面'!$C$10:$AL$1010,19,0))</f>
        <v>0</v>
      </c>
      <c r="P6" s="557">
        <f>IF($E$4="","",VLOOKUP($E$4,'1-1.従業員データ給与改定案入力画面'!$C$10:$AL$1010,36,0))</f>
        <v>0</v>
      </c>
      <c r="Q6" s="558"/>
      <c r="R6" s="558"/>
      <c r="S6" s="558"/>
      <c r="T6" s="558"/>
      <c r="U6" s="558"/>
    </row>
    <row r="7" spans="2:23" ht="21" customHeight="1" thickBot="1" x14ac:dyDescent="0.25">
      <c r="C7" s="559" t="s">
        <v>168</v>
      </c>
      <c r="D7" s="636"/>
      <c r="E7" s="554">
        <f>IF($E$4="","",VLOOKUP($E$4,'1-1.従業員データ給与改定案入力画面'!$C$10:$AL$1010,11,0))</f>
        <v>4</v>
      </c>
      <c r="F7" s="560"/>
      <c r="G7" s="720"/>
      <c r="I7" s="548"/>
      <c r="J7" s="547"/>
      <c r="K7" s="547"/>
      <c r="L7" s="547"/>
      <c r="M7" s="721"/>
    </row>
    <row r="8" spans="2:23" ht="21" customHeight="1" thickBot="1" x14ac:dyDescent="0.2">
      <c r="C8" s="559" t="s">
        <v>102</v>
      </c>
      <c r="D8" s="636"/>
      <c r="E8" s="554">
        <f>IF($E$4="","",VLOOKUP($E$4,'1-1.従業員データ給与改定案入力画面'!$C$10:$AL$1010,12,0))</f>
        <v>4</v>
      </c>
      <c r="F8" s="560"/>
      <c r="G8" s="560"/>
      <c r="H8" s="552"/>
      <c r="I8" s="561"/>
      <c r="J8" s="552"/>
      <c r="K8" s="547"/>
      <c r="L8" s="547"/>
      <c r="M8" s="1071" t="s">
        <v>297</v>
      </c>
      <c r="N8" s="1072"/>
      <c r="S8" s="1073" t="s">
        <v>108</v>
      </c>
      <c r="T8" s="1074"/>
      <c r="U8" s="1075"/>
    </row>
    <row r="9" spans="2:23" ht="21" customHeight="1" thickBot="1" x14ac:dyDescent="0.2">
      <c r="C9" s="559" t="s">
        <v>293</v>
      </c>
      <c r="D9" s="636"/>
      <c r="E9" s="562">
        <f>IF($E$4="","",VLOOKUP($E$4,'1-1.従業員データ給与改定案入力画面'!$C$10:$AL$1010,15,0))</f>
        <v>960</v>
      </c>
      <c r="F9" s="561"/>
      <c r="G9" s="561"/>
      <c r="H9" s="552"/>
      <c r="I9" s="552"/>
      <c r="J9" s="722"/>
      <c r="K9" s="551"/>
      <c r="L9" s="551"/>
      <c r="M9" s="570">
        <v>1000000</v>
      </c>
      <c r="N9" s="723" t="s">
        <v>298</v>
      </c>
      <c r="S9" s="1076" t="s">
        <v>196</v>
      </c>
      <c r="T9" s="1077"/>
      <c r="U9" s="563">
        <f>IF('4-1.手当等支給メニュー'!$U$9="","",'4-1.手当等支給メニュー'!$U$9)</f>
        <v>1</v>
      </c>
      <c r="V9" s="564"/>
    </row>
    <row r="10" spans="2:23" ht="21" customHeight="1" x14ac:dyDescent="0.15">
      <c r="C10" s="637" t="s">
        <v>19</v>
      </c>
      <c r="E10" s="638">
        <f>IF($E$4="","",VLOOKUP($E$4,'1-1.従業員データ給与改定案入力画面'!$C$10:$AL$1010,7,0))</f>
        <v>37</v>
      </c>
      <c r="F10" s="560"/>
      <c r="G10" s="1084" t="s">
        <v>339</v>
      </c>
      <c r="H10" s="1085"/>
      <c r="I10" s="552"/>
      <c r="J10" s="724"/>
      <c r="K10" s="565"/>
      <c r="L10" s="565"/>
      <c r="M10" s="570">
        <v>1000000</v>
      </c>
      <c r="N10" s="725" t="s">
        <v>299</v>
      </c>
      <c r="S10" s="1076" t="s">
        <v>122</v>
      </c>
      <c r="T10" s="1088"/>
      <c r="U10" s="566">
        <f>IF('4-1.手当等支給メニュー'!$U$10="","",'4-1.手当等支給メニュー'!$U$10)</f>
        <v>1300000</v>
      </c>
      <c r="V10" s="564"/>
    </row>
    <row r="11" spans="2:23" ht="21" customHeight="1" thickBot="1" x14ac:dyDescent="0.2">
      <c r="C11" s="549" t="s">
        <v>145</v>
      </c>
      <c r="E11" s="554" t="str">
        <f>IF($E$4="","",VLOOKUP($E$4,'1-1.従業員データ給与改定案入力画面'!$C$10:$AL$1010,3,0))</f>
        <v>奈良市</v>
      </c>
      <c r="F11" s="560"/>
      <c r="G11" s="1086"/>
      <c r="H11" s="1087"/>
      <c r="I11" s="552"/>
      <c r="J11" s="724"/>
      <c r="M11" s="570">
        <v>1030000</v>
      </c>
      <c r="N11" s="726" t="s">
        <v>301</v>
      </c>
      <c r="S11" s="1089" t="s">
        <v>121</v>
      </c>
      <c r="T11" s="1090"/>
      <c r="U11" s="567">
        <f>IF('4-1.手当等支給メニュー'!$U$11="","",'4-1.手当等支給メニュー'!$U$11)</f>
        <v>30</v>
      </c>
      <c r="V11" s="564"/>
    </row>
    <row r="12" spans="2:23" ht="22.5" customHeight="1" thickBot="1" x14ac:dyDescent="0.2">
      <c r="C12" s="568" t="s">
        <v>294</v>
      </c>
      <c r="D12" s="552"/>
      <c r="E12" s="569"/>
      <c r="F12" s="569"/>
      <c r="G12" s="1091">
        <v>0.15</v>
      </c>
      <c r="H12" s="1092"/>
      <c r="I12" s="552"/>
      <c r="J12" s="724"/>
      <c r="K12" s="551"/>
      <c r="L12" s="551"/>
      <c r="M12" s="570">
        <v>1060000</v>
      </c>
      <c r="N12" s="571" t="s">
        <v>309</v>
      </c>
    </row>
    <row r="13" spans="2:23" s="551" customFormat="1" ht="29.25" customHeight="1" thickBot="1" x14ac:dyDescent="0.2">
      <c r="C13" s="554">
        <f>IF($E$4="","",VLOOKUP($E$4,'1-1.従業員データ給与改定案入力画面'!$C$10:$AL$1010,16,0))</f>
        <v>40</v>
      </c>
      <c r="D13" s="560"/>
      <c r="E13" s="572"/>
      <c r="F13" s="572"/>
      <c r="G13" s="572"/>
      <c r="J13" s="727"/>
      <c r="K13" s="573"/>
      <c r="L13" s="573"/>
      <c r="M13" s="570">
        <v>1300000</v>
      </c>
      <c r="N13" s="728" t="s">
        <v>300</v>
      </c>
      <c r="O13" s="574" t="s">
        <v>113</v>
      </c>
      <c r="Q13" s="1080" t="s">
        <v>320</v>
      </c>
      <c r="R13" s="1081"/>
      <c r="S13" s="1082" t="s">
        <v>320</v>
      </c>
      <c r="T13" s="1083"/>
    </row>
    <row r="14" spans="2:23" ht="53.25" customHeight="1" thickBot="1" x14ac:dyDescent="0.2">
      <c r="B14" s="575" t="s">
        <v>18</v>
      </c>
      <c r="C14" s="576" t="s">
        <v>295</v>
      </c>
      <c r="D14" s="577" t="s">
        <v>16</v>
      </c>
      <c r="E14" s="578" t="s">
        <v>318</v>
      </c>
      <c r="F14" s="579" t="s">
        <v>16</v>
      </c>
      <c r="G14" s="580" t="s">
        <v>317</v>
      </c>
      <c r="H14" s="581" t="s">
        <v>16</v>
      </c>
      <c r="I14" s="582" t="s">
        <v>321</v>
      </c>
      <c r="J14" s="582" t="s">
        <v>169</v>
      </c>
      <c r="K14" s="583" t="s">
        <v>106</v>
      </c>
      <c r="L14" s="584" t="s">
        <v>319</v>
      </c>
      <c r="M14" s="585" t="s">
        <v>296</v>
      </c>
      <c r="N14" s="586" t="s">
        <v>256</v>
      </c>
      <c r="O14" s="587" t="s">
        <v>255</v>
      </c>
      <c r="P14" s="588" t="s">
        <v>17</v>
      </c>
      <c r="Q14" s="589" t="s">
        <v>16</v>
      </c>
      <c r="R14" s="590" t="s">
        <v>16</v>
      </c>
      <c r="S14" s="587" t="s">
        <v>255</v>
      </c>
      <c r="T14" s="587" t="s">
        <v>17</v>
      </c>
      <c r="U14" s="591" t="s">
        <v>161</v>
      </c>
      <c r="V14" s="592" t="s">
        <v>163</v>
      </c>
      <c r="W14" s="593" t="s">
        <v>238</v>
      </c>
    </row>
    <row r="15" spans="2:23" ht="21.95" customHeight="1" thickBot="1" x14ac:dyDescent="0.2">
      <c r="B15" s="594">
        <v>1</v>
      </c>
      <c r="C15" s="595">
        <f t="shared" ref="C15:C44" si="0">IF($E$4="",0,IF($H15="","",$E$9+$C$13))</f>
        <v>1000</v>
      </c>
      <c r="D15" s="596" t="str">
        <f t="shared" ref="D15:D44" si="1">IF($E$4="","",IF($K15&gt;=88000,88,""))</f>
        <v/>
      </c>
      <c r="E15" s="597">
        <f>IF($E$4="","",IF(AND($I15&gt;=20,$D15=88,'4-1.参照シートー１'!$R15&lt;=104000),($P15+$V15)*$G$12,0))</f>
        <v>0</v>
      </c>
      <c r="F15" s="639">
        <f>IF('4-1.参照シートー１'!$G15="","",'4-1.参照シートー１'!$G15)</f>
        <v>0</v>
      </c>
      <c r="G15" s="597">
        <f>IF($E$4="","",IF(AND($I15&gt;=20,$D15=88,'4-1.参照シートー１'!$R15&gt;104000),($R15+$V15)*$G$12,0))</f>
        <v>0</v>
      </c>
      <c r="H15" s="598">
        <v>0</v>
      </c>
      <c r="I15" s="599">
        <f>IF($E$4="","",$E$7*$E$8)</f>
        <v>16</v>
      </c>
      <c r="J15" s="600">
        <f t="shared" ref="J15:J44" si="2">IF($E$7="","",IF($I15="","",$I15*365/7))</f>
        <v>834.28571428571433</v>
      </c>
      <c r="K15" s="601">
        <f>IF($E$4="","",IF($J15="",0,$C15*$J15/12))</f>
        <v>69523.809523809527</v>
      </c>
      <c r="L15" s="602">
        <f>IF($E$4="","",$K15+$E15+$F15)</f>
        <v>69523.809523809527</v>
      </c>
      <c r="M15" s="603">
        <f>IF($E$4="",0,IF($L15=0,0,$L15+$M$6))</f>
        <v>71523.809523809527</v>
      </c>
      <c r="N15" s="604">
        <f>IF($E$4="",0,IF($M15=0,0,$M15*12+$P$6))</f>
        <v>858285.71428571432</v>
      </c>
      <c r="O15" s="605">
        <f>IF($E$4="",0,IF($K15=0,0,$K15+$N$6))</f>
        <v>74023.809523809527</v>
      </c>
      <c r="P15" s="606">
        <f>IF($E$4="",0,IF($O15=0,0,VLOOKUP($O15,'3-1.標準報酬月額・保険料表'!$N$8:$O$57,2,TRUE)))</f>
        <v>78000</v>
      </c>
      <c r="Q15" s="607">
        <f>IF($E$4="",0,IF($L15=0,0,$L15+$N$6-$E15))</f>
        <v>74023.809523809527</v>
      </c>
      <c r="R15" s="608">
        <f>IF($E$4="",0,IF($Q15=0,0,VLOOKUP($Q15,'3-1.標準報酬月額・保険料表'!$N$8:$O$57,2,TRUE)))</f>
        <v>78000</v>
      </c>
      <c r="S15" s="605">
        <f>IF($E$4="",0,IF($K15=0,0,$K15+$N$6+$G15))</f>
        <v>74023.809523809527</v>
      </c>
      <c r="T15" s="609">
        <f>IF($E$4="",0,IF($S15=0,0,VLOOKUP($S15,'3-1.標準報酬月額・保険料表'!$N$8:$O$57,2,TRUE)))</f>
        <v>78000</v>
      </c>
      <c r="U15" s="610">
        <f t="shared" ref="U15:U44" si="3">IF($E$4="",0,ROUNDDOWN($P$6,-3))</f>
        <v>0</v>
      </c>
      <c r="V15" s="611">
        <f t="shared" ref="V15:V44" si="4">IF($E$4="",0,ROUND($U15/12,0))</f>
        <v>0</v>
      </c>
      <c r="W15" s="612">
        <f t="shared" ref="W15:W44" si="5">IF($E$4="","",IF($K15="",0,$K15+$O$6))</f>
        <v>69523.809523809527</v>
      </c>
    </row>
    <row r="16" spans="2:23" ht="21.95" customHeight="1" x14ac:dyDescent="0.15">
      <c r="B16" s="594">
        <v>2</v>
      </c>
      <c r="C16" s="613">
        <f t="shared" si="0"/>
        <v>1000</v>
      </c>
      <c r="D16" s="614" t="str">
        <f t="shared" si="1"/>
        <v/>
      </c>
      <c r="E16" s="597">
        <f>IF($E$4="","",IF(AND($I16&gt;=20,$D16=88,'4-1.参照シートー１'!$R16&lt;=104000),($P16+$V16)*$G$12,0))</f>
        <v>0</v>
      </c>
      <c r="F16" s="639">
        <f>IF('4-1.参照シートー１'!$G16="","",'4-1.参照シートー１'!$G16)</f>
        <v>0</v>
      </c>
      <c r="G16" s="597">
        <f>IF($E$4="","",IF(AND($I16&gt;=20,$D16=88,'4-1.参照シートー１'!$R16&gt;104000),($R16+$V16)*$G$12,0))</f>
        <v>0</v>
      </c>
      <c r="H16" s="615">
        <f>IF($I15&gt;=39,"",$H15+1)</f>
        <v>1</v>
      </c>
      <c r="I16" s="616">
        <f>IF($H16="","",IF($I$15+$H16&gt;39,"",$I$15+$H16))</f>
        <v>17</v>
      </c>
      <c r="J16" s="602">
        <f t="shared" si="2"/>
        <v>886.42857142857144</v>
      </c>
      <c r="K16" s="601">
        <f>IF($E$4="","",IF($J16="",0,$C16*$J16/12))</f>
        <v>73869.047619047618</v>
      </c>
      <c r="L16" s="602">
        <f>IF($E$4="","",$K16+$E16+$F16)</f>
        <v>73869.047619047618</v>
      </c>
      <c r="M16" s="617">
        <f>IF($E$4="",0,IF($L16=0,0,$L16+$M$6))</f>
        <v>75869.047619047618</v>
      </c>
      <c r="N16" s="604">
        <f t="shared" ref="N16:N44" si="6">IF($E$4="",0,IF($M16=0,0,$M16*12+$P$6))</f>
        <v>910428.57142857136</v>
      </c>
      <c r="O16" s="618">
        <f t="shared" ref="O16:O44" si="7">IF($E$4="",0,IF($K16=0,0,$K16+$N$6))</f>
        <v>78369.047619047618</v>
      </c>
      <c r="P16" s="606">
        <f>IF($E$4="",0,IF($O16=0,0,VLOOKUP($O16,'3-1.標準報酬月額・保険料表'!$N$8:$O$57,2,TRUE)))</f>
        <v>78000</v>
      </c>
      <c r="Q16" s="619">
        <f t="shared" ref="Q16:Q44" si="8">IF($E$4="",0,IF($L16=0,0,$L16+$N$6-$E16))</f>
        <v>78369.047619047618</v>
      </c>
      <c r="R16" s="620">
        <f>IF($E$4="",0,IF($Q16=0,0,VLOOKUP($Q16,'3-1.標準報酬月額・保険料表'!$N$8:$O$57,2,TRUE)))</f>
        <v>78000</v>
      </c>
      <c r="S16" s="605">
        <f t="shared" ref="S16:S44" si="9">IF($E$4="",0,IF($K16=0,0,$K16+$N$6+$G16))</f>
        <v>78369.047619047618</v>
      </c>
      <c r="T16" s="609">
        <f>IF($E$4="",0,IF($S16=0,0,VLOOKUP($S16,'3-1.標準報酬月額・保険料表'!$N$8:$O$57,2,TRUE)))</f>
        <v>78000</v>
      </c>
      <c r="U16" s="621">
        <f t="shared" si="3"/>
        <v>0</v>
      </c>
      <c r="V16" s="611">
        <f t="shared" si="4"/>
        <v>0</v>
      </c>
      <c r="W16" s="612">
        <f t="shared" si="5"/>
        <v>73869.047619047618</v>
      </c>
    </row>
    <row r="17" spans="2:23" ht="21.95" customHeight="1" x14ac:dyDescent="0.15">
      <c r="B17" s="594">
        <v>3</v>
      </c>
      <c r="C17" s="613">
        <f t="shared" si="0"/>
        <v>1000</v>
      </c>
      <c r="D17" s="622" t="str">
        <f t="shared" si="1"/>
        <v/>
      </c>
      <c r="E17" s="597">
        <f>IF($E$4="","",IF(AND($I17&gt;=20,$D17=88,'4-1.参照シートー１'!$R17&lt;=104000),($P17+$V17)*$G$12,0))</f>
        <v>0</v>
      </c>
      <c r="F17" s="639">
        <f>IF('4-1.参照シートー１'!$G17="","",'4-1.参照シートー１'!$G17)</f>
        <v>0</v>
      </c>
      <c r="G17" s="597">
        <f>IF($E$4="","",IF(AND($I17&gt;=20,$D17=88,'4-1.参照シートー１'!$R17&gt;104000),($R17+$V17)*$G$12,0))</f>
        <v>0</v>
      </c>
      <c r="H17" s="623">
        <f t="shared" ref="H17:H44" si="10">IF($I16&gt;=39,"",$H16+1)</f>
        <v>2</v>
      </c>
      <c r="I17" s="624">
        <f t="shared" ref="I17:I44" si="11">IF($H17="","",IF($I$15+$H17&gt;39,"",$I$15+$H17))</f>
        <v>18</v>
      </c>
      <c r="J17" s="602">
        <f t="shared" si="2"/>
        <v>938.57142857142856</v>
      </c>
      <c r="K17" s="601">
        <f t="shared" ref="K17:K44" si="12">IF($E$4="","",IF($J17="",0,$C17*$J17/12))</f>
        <v>78214.28571428571</v>
      </c>
      <c r="L17" s="602">
        <f t="shared" ref="L17:L44" si="13">IF($E$4="","",$K17+$E17+$F17)</f>
        <v>78214.28571428571</v>
      </c>
      <c r="M17" s="617">
        <f t="shared" ref="M17:M44" si="14">IF($E$4="",0,IF($L17=0,0,$L17+$M$6))</f>
        <v>80214.28571428571</v>
      </c>
      <c r="N17" s="604">
        <f t="shared" si="6"/>
        <v>962571.42857142852</v>
      </c>
      <c r="O17" s="618">
        <f>IF($E$4="",0,IF($K17=0,0,$K17+$N$6))</f>
        <v>82714.28571428571</v>
      </c>
      <c r="P17" s="606">
        <f>IF($E$4="",0,IF($O17=0,0,VLOOKUP($O17,'3-1.標準報酬月額・保険料表'!$N$8:$O$57,2,TRUE)))</f>
        <v>78000</v>
      </c>
      <c r="Q17" s="619">
        <f t="shared" si="8"/>
        <v>82714.28571428571</v>
      </c>
      <c r="R17" s="620">
        <f>IF($E$4="",0,IF($Q17=0,0,VLOOKUP($Q17,'3-1.標準報酬月額・保険料表'!$N$8:$O$57,2,TRUE)))</f>
        <v>78000</v>
      </c>
      <c r="S17" s="605">
        <f t="shared" si="9"/>
        <v>82714.28571428571</v>
      </c>
      <c r="T17" s="609">
        <f>IF($E$4="",0,IF($S17=0,0,VLOOKUP($S17,'3-1.標準報酬月額・保険料表'!$N$8:$O$57,2,TRUE)))</f>
        <v>78000</v>
      </c>
      <c r="U17" s="621">
        <f t="shared" si="3"/>
        <v>0</v>
      </c>
      <c r="V17" s="611">
        <f t="shared" si="4"/>
        <v>0</v>
      </c>
      <c r="W17" s="612">
        <f t="shared" si="5"/>
        <v>78214.28571428571</v>
      </c>
    </row>
    <row r="18" spans="2:23" ht="21.95" customHeight="1" x14ac:dyDescent="0.15">
      <c r="B18" s="594">
        <v>4</v>
      </c>
      <c r="C18" s="613">
        <f t="shared" si="0"/>
        <v>1000</v>
      </c>
      <c r="D18" s="622" t="str">
        <f t="shared" si="1"/>
        <v/>
      </c>
      <c r="E18" s="597">
        <f>IF($E$4="","",IF(AND($I18&gt;=20,$D18=88,'4-1.参照シートー１'!$R18&lt;=104000),($P18+$V18)*$G$12,0))</f>
        <v>0</v>
      </c>
      <c r="F18" s="639">
        <f>IF('4-1.参照シートー１'!$G18="","",'4-1.参照シートー１'!$G18)</f>
        <v>0</v>
      </c>
      <c r="G18" s="597">
        <f>IF($E$4="","",IF(AND($I18&gt;=20,$D18=88,'4-1.参照シートー１'!$R18&gt;104000),($R18+$V18)*$G$12,0))</f>
        <v>0</v>
      </c>
      <c r="H18" s="623">
        <f t="shared" si="10"/>
        <v>3</v>
      </c>
      <c r="I18" s="624">
        <f t="shared" si="11"/>
        <v>19</v>
      </c>
      <c r="J18" s="602">
        <f t="shared" si="2"/>
        <v>990.71428571428567</v>
      </c>
      <c r="K18" s="601">
        <f t="shared" si="12"/>
        <v>82559.523809523802</v>
      </c>
      <c r="L18" s="602">
        <f>IF($E$4="","",$K18+$E18+$F18)</f>
        <v>82559.523809523802</v>
      </c>
      <c r="M18" s="617">
        <f>IF($E$4="",0,IF($L18=0,0,$L18+$M$6))</f>
        <v>84559.523809523802</v>
      </c>
      <c r="N18" s="604">
        <f t="shared" si="6"/>
        <v>1014714.2857142857</v>
      </c>
      <c r="O18" s="618">
        <f t="shared" si="7"/>
        <v>87059.523809523802</v>
      </c>
      <c r="P18" s="606">
        <f>IF($E$4="",0,IF($O18=0,0,VLOOKUP($O18,'3-1.標準報酬月額・保険料表'!$N$8:$O$57,2,TRUE)))</f>
        <v>88000</v>
      </c>
      <c r="Q18" s="619">
        <f>IF($E$4="",0,IF($L18=0,0,$L18+$N$6-$E18))</f>
        <v>87059.523809523802</v>
      </c>
      <c r="R18" s="620">
        <f>IF($E$4="",0,IF($Q18=0,0,VLOOKUP($Q18,'3-1.標準報酬月額・保険料表'!$N$8:$O$57,2,TRUE)))</f>
        <v>88000</v>
      </c>
      <c r="S18" s="605">
        <f t="shared" si="9"/>
        <v>87059.523809523802</v>
      </c>
      <c r="T18" s="609">
        <f>IF($E$4="",0,IF($S18=0,0,VLOOKUP($S18,'3-1.標準報酬月額・保険料表'!$N$8:$O$57,2,TRUE)))</f>
        <v>88000</v>
      </c>
      <c r="U18" s="621">
        <f t="shared" si="3"/>
        <v>0</v>
      </c>
      <c r="V18" s="611">
        <f t="shared" si="4"/>
        <v>0</v>
      </c>
      <c r="W18" s="612">
        <f t="shared" si="5"/>
        <v>82559.523809523802</v>
      </c>
    </row>
    <row r="19" spans="2:23" ht="21.95" customHeight="1" x14ac:dyDescent="0.15">
      <c r="B19" s="594">
        <v>5</v>
      </c>
      <c r="C19" s="613">
        <f t="shared" si="0"/>
        <v>1000</v>
      </c>
      <c r="D19" s="622" t="str">
        <f t="shared" si="1"/>
        <v/>
      </c>
      <c r="E19" s="597">
        <f>IF($E$4="","",IF(AND($I19&gt;=20,$D19=88,'4-1.参照シートー１'!$R19&lt;=104000),($P19+$V19)*$G$12,0))</f>
        <v>0</v>
      </c>
      <c r="F19" s="639">
        <f>IF('4-1.参照シートー１'!$G19="","",'4-1.参照シートー１'!$G19)</f>
        <v>0</v>
      </c>
      <c r="G19" s="597">
        <f>IF($E$4="","",IF(AND($I19&gt;=20,$D19=88,'4-1.参照シートー１'!$R19&gt;104000),($R19+$V19)*$G$12,0))</f>
        <v>0</v>
      </c>
      <c r="H19" s="623">
        <f t="shared" si="10"/>
        <v>4</v>
      </c>
      <c r="I19" s="624">
        <f t="shared" si="11"/>
        <v>20</v>
      </c>
      <c r="J19" s="602">
        <f t="shared" si="2"/>
        <v>1042.8571428571429</v>
      </c>
      <c r="K19" s="601">
        <f t="shared" si="12"/>
        <v>86904.761904761908</v>
      </c>
      <c r="L19" s="602">
        <f t="shared" si="13"/>
        <v>86904.761904761908</v>
      </c>
      <c r="M19" s="617">
        <f t="shared" si="14"/>
        <v>88904.761904761908</v>
      </c>
      <c r="N19" s="604">
        <f t="shared" si="6"/>
        <v>1066857.142857143</v>
      </c>
      <c r="O19" s="618">
        <f t="shared" si="7"/>
        <v>91404.761904761908</v>
      </c>
      <c r="P19" s="606">
        <f>IF($E$4="",0,IF($O19=0,0,VLOOKUP($O19,'3-1.標準報酬月額・保険料表'!$N$8:$O$57,2,TRUE)))</f>
        <v>88000</v>
      </c>
      <c r="Q19" s="619">
        <f t="shared" si="8"/>
        <v>91404.761904761908</v>
      </c>
      <c r="R19" s="620">
        <f>IF($E$4="",0,IF($Q19=0,0,VLOOKUP($Q19,'3-1.標準報酬月額・保険料表'!$N$8:$O$57,2,TRUE)))</f>
        <v>88000</v>
      </c>
      <c r="S19" s="605">
        <f t="shared" si="9"/>
        <v>91404.761904761908</v>
      </c>
      <c r="T19" s="609">
        <f>IF($E$4="",0,IF($S19=0,0,VLOOKUP($S19,'3-1.標準報酬月額・保険料表'!$N$8:$O$57,2,TRUE)))</f>
        <v>88000</v>
      </c>
      <c r="U19" s="621">
        <f t="shared" si="3"/>
        <v>0</v>
      </c>
      <c r="V19" s="611">
        <f t="shared" si="4"/>
        <v>0</v>
      </c>
      <c r="W19" s="612">
        <f t="shared" si="5"/>
        <v>86904.761904761908</v>
      </c>
    </row>
    <row r="20" spans="2:23" ht="21.95" customHeight="1" x14ac:dyDescent="0.15">
      <c r="B20" s="594">
        <v>6</v>
      </c>
      <c r="C20" s="613">
        <f t="shared" si="0"/>
        <v>1000</v>
      </c>
      <c r="D20" s="622">
        <f t="shared" si="1"/>
        <v>88</v>
      </c>
      <c r="E20" s="597">
        <f>IF($E$4="","",IF(AND($I20&gt;=20,$D20=88,'4-1.参照シートー１'!$R20&lt;=104000),($P20+$V20)*$G$12,0))</f>
        <v>14700</v>
      </c>
      <c r="F20" s="639">
        <f>IF('4-1.参照シートー１'!$G20="","",'4-1.参照シートー１'!$G20)</f>
        <v>0</v>
      </c>
      <c r="G20" s="597">
        <f>IF($E$4="","",IF(AND($I20&gt;=20,$D20=88,'4-1.参照シートー１'!$R20&gt;104000),($R20+$V20)*$G$12,0))</f>
        <v>0</v>
      </c>
      <c r="H20" s="623">
        <f t="shared" si="10"/>
        <v>5</v>
      </c>
      <c r="I20" s="624">
        <f t="shared" si="11"/>
        <v>21</v>
      </c>
      <c r="J20" s="602">
        <f t="shared" si="2"/>
        <v>1095</v>
      </c>
      <c r="K20" s="601">
        <f t="shared" si="12"/>
        <v>91250</v>
      </c>
      <c r="L20" s="602">
        <f>IF($E$4="","",$K20+$E20+$F20)</f>
        <v>105950</v>
      </c>
      <c r="M20" s="617">
        <f t="shared" si="14"/>
        <v>107950</v>
      </c>
      <c r="N20" s="604">
        <f t="shared" si="6"/>
        <v>1295400</v>
      </c>
      <c r="O20" s="618">
        <f t="shared" si="7"/>
        <v>95750</v>
      </c>
      <c r="P20" s="606">
        <f>IF($E$4="",0,IF($O20=0,0,VLOOKUP($O20,'3-1.標準報酬月額・保険料表'!$N$8:$O$57,2,TRUE)))</f>
        <v>98000</v>
      </c>
      <c r="Q20" s="619">
        <f>IF($E$4="",0,IF($L20=0,0,$L20+$N$6-$E20))</f>
        <v>95750</v>
      </c>
      <c r="R20" s="620">
        <f>IF($E$4="",0,IF($Q20=0,0,VLOOKUP($Q20,'3-1.標準報酬月額・保険料表'!$N$8:$O$57,2,TRUE)))</f>
        <v>98000</v>
      </c>
      <c r="S20" s="605">
        <f t="shared" si="9"/>
        <v>95750</v>
      </c>
      <c r="T20" s="609">
        <f>IF($E$4="",0,IF($S20=0,0,VLOOKUP($S20,'3-1.標準報酬月額・保険料表'!$N$8:$O$57,2,TRUE)))</f>
        <v>98000</v>
      </c>
      <c r="U20" s="621">
        <f t="shared" si="3"/>
        <v>0</v>
      </c>
      <c r="V20" s="611">
        <f t="shared" si="4"/>
        <v>0</v>
      </c>
      <c r="W20" s="612">
        <f t="shared" si="5"/>
        <v>91250</v>
      </c>
    </row>
    <row r="21" spans="2:23" ht="21.95" customHeight="1" x14ac:dyDescent="0.15">
      <c r="B21" s="594">
        <v>7</v>
      </c>
      <c r="C21" s="613">
        <f t="shared" si="0"/>
        <v>1000</v>
      </c>
      <c r="D21" s="622">
        <f t="shared" si="1"/>
        <v>88</v>
      </c>
      <c r="E21" s="597">
        <f>IF($E$4="","",IF(AND($I21&gt;=20,$D21=88,'4-1.参照シートー１'!$R21&lt;=104000),($P21+$V21)*$G$12,0))</f>
        <v>14700</v>
      </c>
      <c r="F21" s="640">
        <f>IF('4-1.参照シートー１'!$G21="","",'4-1.参照シートー１'!$G21)</f>
        <v>0</v>
      </c>
      <c r="G21" s="625">
        <f>IF($E$4="","",IF(AND($I21&gt;=20,$D21=88,'4-1.参照シートー１'!$R21&gt;104000),($R21+$V21)*$G$12,0))</f>
        <v>0</v>
      </c>
      <c r="H21" s="623">
        <f t="shared" si="10"/>
        <v>6</v>
      </c>
      <c r="I21" s="624">
        <f t="shared" si="11"/>
        <v>22</v>
      </c>
      <c r="J21" s="602">
        <f t="shared" si="2"/>
        <v>1147.1428571428571</v>
      </c>
      <c r="K21" s="601">
        <f t="shared" si="12"/>
        <v>95595.238095238092</v>
      </c>
      <c r="L21" s="602">
        <f t="shared" si="13"/>
        <v>110295.23809523809</v>
      </c>
      <c r="M21" s="617">
        <f t="shared" si="14"/>
        <v>112295.23809523809</v>
      </c>
      <c r="N21" s="604">
        <f t="shared" si="6"/>
        <v>1347542.857142857</v>
      </c>
      <c r="O21" s="618">
        <f t="shared" si="7"/>
        <v>100095.23809523809</v>
      </c>
      <c r="P21" s="606">
        <f>IF($E$4="",0,IF($O21=0,0,VLOOKUP($O21,'3-1.標準報酬月額・保険料表'!$N$8:$O$57,2,TRUE)))</f>
        <v>98000</v>
      </c>
      <c r="Q21" s="619">
        <f t="shared" si="8"/>
        <v>100095.23809523809</v>
      </c>
      <c r="R21" s="620">
        <f>IF($E$4="",0,IF($Q21=0,0,VLOOKUP($Q21,'3-1.標準報酬月額・保険料表'!$N$8:$O$57,2,TRUE)))</f>
        <v>98000</v>
      </c>
      <c r="S21" s="605">
        <f t="shared" si="9"/>
        <v>100095.23809523809</v>
      </c>
      <c r="T21" s="609">
        <f>IF($E$4="",0,IF($S21=0,0,VLOOKUP($S21,'3-1.標準報酬月額・保険料表'!$N$8:$O$57,2,TRUE)))</f>
        <v>98000</v>
      </c>
      <c r="U21" s="621">
        <f t="shared" si="3"/>
        <v>0</v>
      </c>
      <c r="V21" s="611">
        <f t="shared" si="4"/>
        <v>0</v>
      </c>
      <c r="W21" s="612">
        <f t="shared" si="5"/>
        <v>95595.238095238092</v>
      </c>
    </row>
    <row r="22" spans="2:23" ht="21.95" customHeight="1" x14ac:dyDescent="0.15">
      <c r="B22" s="594">
        <v>8</v>
      </c>
      <c r="C22" s="613">
        <f t="shared" si="0"/>
        <v>1000</v>
      </c>
      <c r="D22" s="622">
        <f t="shared" si="1"/>
        <v>88</v>
      </c>
      <c r="E22" s="597">
        <f>IF($E$4="","",IF(AND($I22&gt;=20,$D22=88,'4-1.参照シートー１'!$R22&lt;=104000),($P22+$V22)*$G$12,0))</f>
        <v>15600</v>
      </c>
      <c r="F22" s="640">
        <f>IF('4-1.参照シートー１'!$G22="","",'4-1.参照シートー１'!$G22)</f>
        <v>0</v>
      </c>
      <c r="G22" s="625">
        <f>IF($E$4="","",IF(AND($I22&gt;=20,$D22=88,'4-1.参照シートー１'!$R22&gt;104000),($R22+$V22)*$G$12,0))</f>
        <v>0</v>
      </c>
      <c r="H22" s="623">
        <f t="shared" si="10"/>
        <v>7</v>
      </c>
      <c r="I22" s="624">
        <f t="shared" si="11"/>
        <v>23</v>
      </c>
      <c r="J22" s="602">
        <f t="shared" si="2"/>
        <v>1199.2857142857142</v>
      </c>
      <c r="K22" s="601">
        <f t="shared" si="12"/>
        <v>99940.476190476198</v>
      </c>
      <c r="L22" s="602">
        <f t="shared" si="13"/>
        <v>115540.4761904762</v>
      </c>
      <c r="M22" s="617">
        <f>IF($E$4="",0,IF($L22=0,0,$L22+$M$6))</f>
        <v>117540.4761904762</v>
      </c>
      <c r="N22" s="604">
        <f t="shared" si="6"/>
        <v>1410485.7142857143</v>
      </c>
      <c r="O22" s="618">
        <f t="shared" si="7"/>
        <v>104440.4761904762</v>
      </c>
      <c r="P22" s="606">
        <f>IF($E$4="",0,IF($O22=0,0,VLOOKUP($O22,'3-1.標準報酬月額・保険料表'!$N$8:$O$57,2,TRUE)))</f>
        <v>104000</v>
      </c>
      <c r="Q22" s="619">
        <f t="shared" si="8"/>
        <v>104440.4761904762</v>
      </c>
      <c r="R22" s="620">
        <f>IF($E$4="",0,IF($Q22=0,0,VLOOKUP($Q22,'3-1.標準報酬月額・保険料表'!$N$8:$O$57,2,TRUE)))</f>
        <v>104000</v>
      </c>
      <c r="S22" s="605">
        <f t="shared" si="9"/>
        <v>104440.4761904762</v>
      </c>
      <c r="T22" s="609">
        <f>IF($E$4="",0,IF($S22=0,0,VLOOKUP($S22,'3-1.標準報酬月額・保険料表'!$N$8:$O$57,2,TRUE)))</f>
        <v>104000</v>
      </c>
      <c r="U22" s="621">
        <f t="shared" si="3"/>
        <v>0</v>
      </c>
      <c r="V22" s="611">
        <f t="shared" si="4"/>
        <v>0</v>
      </c>
      <c r="W22" s="612">
        <f t="shared" si="5"/>
        <v>99940.476190476198</v>
      </c>
    </row>
    <row r="23" spans="2:23" ht="21.95" customHeight="1" x14ac:dyDescent="0.15">
      <c r="B23" s="594">
        <v>9</v>
      </c>
      <c r="C23" s="613">
        <f t="shared" si="0"/>
        <v>1000</v>
      </c>
      <c r="D23" s="622">
        <f t="shared" si="1"/>
        <v>88</v>
      </c>
      <c r="E23" s="597">
        <f>IF($E$4="","",IF(AND($I23&gt;=20,$D23=88,'4-1.参照シートー１'!$R23&lt;=104000),($P23+$V23)*$G$12,0))</f>
        <v>0</v>
      </c>
      <c r="F23" s="640">
        <f>IF('4-1.参照シートー１'!$G23="","",'4-1.参照シートー１'!$G23)</f>
        <v>18900</v>
      </c>
      <c r="G23" s="625">
        <f>IF($E$4="","",IF(AND($I23&gt;=20,$D23=88,'4-1.参照シートー１'!$R23&gt;104000),($R23+$V23)*$G$12,0))</f>
        <v>18900</v>
      </c>
      <c r="H23" s="623">
        <f t="shared" si="10"/>
        <v>8</v>
      </c>
      <c r="I23" s="624">
        <f t="shared" si="11"/>
        <v>24</v>
      </c>
      <c r="J23" s="602">
        <f t="shared" si="2"/>
        <v>1251.4285714285713</v>
      </c>
      <c r="K23" s="601">
        <f t="shared" si="12"/>
        <v>104285.71428571428</v>
      </c>
      <c r="L23" s="602">
        <f>IF($E$4="","",$K23+$E23+$F23)</f>
        <v>123185.71428571428</v>
      </c>
      <c r="M23" s="617">
        <f t="shared" si="14"/>
        <v>125185.71428571428</v>
      </c>
      <c r="N23" s="604">
        <f t="shared" si="6"/>
        <v>1502228.5714285714</v>
      </c>
      <c r="O23" s="618">
        <f t="shared" si="7"/>
        <v>108785.71428571428</v>
      </c>
      <c r="P23" s="606">
        <f>IF($E$4="",0,IF($O23=0,0,VLOOKUP($O23,'3-1.標準報酬月額・保険料表'!$N$8:$O$57,2,TRUE)))</f>
        <v>110000</v>
      </c>
      <c r="Q23" s="619">
        <f t="shared" si="8"/>
        <v>127685.71428571428</v>
      </c>
      <c r="R23" s="620">
        <f>IF($E$4="",0,IF($Q23=0,0,VLOOKUP($Q23,'3-1.標準報酬月額・保険料表'!$N$8:$O$57,2,TRUE)))</f>
        <v>126000</v>
      </c>
      <c r="S23" s="605">
        <f t="shared" si="9"/>
        <v>127685.71428571428</v>
      </c>
      <c r="T23" s="609">
        <f>IF($E$4="",0,IF($S23=0,0,VLOOKUP($S23,'3-1.標準報酬月額・保険料表'!$N$8:$O$57,2,TRUE)))</f>
        <v>126000</v>
      </c>
      <c r="U23" s="621">
        <f t="shared" si="3"/>
        <v>0</v>
      </c>
      <c r="V23" s="611">
        <f t="shared" si="4"/>
        <v>0</v>
      </c>
      <c r="W23" s="612">
        <f t="shared" si="5"/>
        <v>104285.71428571428</v>
      </c>
    </row>
    <row r="24" spans="2:23" ht="21.95" customHeight="1" x14ac:dyDescent="0.15">
      <c r="B24" s="594">
        <v>10</v>
      </c>
      <c r="C24" s="613">
        <f t="shared" si="0"/>
        <v>1000</v>
      </c>
      <c r="D24" s="622">
        <f t="shared" si="1"/>
        <v>88</v>
      </c>
      <c r="E24" s="597">
        <f>IF($E$4="","",IF(AND($I24&gt;=20,$D24=88,'4-1.参照シートー１'!$R24&lt;=104000),($P24+$V24)*$G$12,0))</f>
        <v>0</v>
      </c>
      <c r="F24" s="640">
        <f>IF('4-1.参照シートー１'!$G24="","",'4-1.参照シートー１'!$G24)</f>
        <v>18900</v>
      </c>
      <c r="G24" s="625">
        <f>IF($E$4="","",IF(AND($I24&gt;=20,$D24=88,'4-1.参照シートー１'!$R24&gt;104000),($R24+$V24)*$G$12,0))</f>
        <v>20100</v>
      </c>
      <c r="H24" s="623">
        <f t="shared" si="10"/>
        <v>9</v>
      </c>
      <c r="I24" s="624">
        <f t="shared" si="11"/>
        <v>25</v>
      </c>
      <c r="J24" s="602">
        <f t="shared" si="2"/>
        <v>1303.5714285714287</v>
      </c>
      <c r="K24" s="601">
        <f t="shared" si="12"/>
        <v>108630.95238095238</v>
      </c>
      <c r="L24" s="602">
        <f t="shared" si="13"/>
        <v>127530.95238095238</v>
      </c>
      <c r="M24" s="617">
        <f t="shared" si="14"/>
        <v>129530.95238095238</v>
      </c>
      <c r="N24" s="604">
        <f t="shared" si="6"/>
        <v>1554371.4285714286</v>
      </c>
      <c r="O24" s="618">
        <f t="shared" si="7"/>
        <v>113130.95238095238</v>
      </c>
      <c r="P24" s="606">
        <f>IF($E$4="",0,IF($O24=0,0,VLOOKUP($O24,'3-1.標準報酬月額・保険料表'!$N$8:$O$57,2,TRUE)))</f>
        <v>110000</v>
      </c>
      <c r="Q24" s="619">
        <f t="shared" si="8"/>
        <v>132030.95238095237</v>
      </c>
      <c r="R24" s="620">
        <f>IF($E$4="",0,IF($Q24=0,0,VLOOKUP($Q24,'3-1.標準報酬月額・保険料表'!$N$8:$O$57,2,TRUE)))</f>
        <v>134000</v>
      </c>
      <c r="S24" s="605">
        <f t="shared" si="9"/>
        <v>133230.95238095237</v>
      </c>
      <c r="T24" s="609">
        <f>IF($E$4="",0,IF($S24=0,0,VLOOKUP($S24,'3-1.標準報酬月額・保険料表'!$N$8:$O$57,2,TRUE)))</f>
        <v>134000</v>
      </c>
      <c r="U24" s="621">
        <f t="shared" si="3"/>
        <v>0</v>
      </c>
      <c r="V24" s="611">
        <f t="shared" si="4"/>
        <v>0</v>
      </c>
      <c r="W24" s="612">
        <f t="shared" si="5"/>
        <v>108630.95238095238</v>
      </c>
    </row>
    <row r="25" spans="2:23" ht="21.95" customHeight="1" x14ac:dyDescent="0.15">
      <c r="B25" s="594">
        <v>11</v>
      </c>
      <c r="C25" s="613">
        <f t="shared" si="0"/>
        <v>1000</v>
      </c>
      <c r="D25" s="622">
        <f t="shared" si="1"/>
        <v>88</v>
      </c>
      <c r="E25" s="597">
        <f>IF($E$4="","",IF(AND($I25&gt;=20,$D25=88,'4-1.参照シートー１'!$R25&lt;=104000),($P25+$V25)*$G$12,0))</f>
        <v>0</v>
      </c>
      <c r="F25" s="640">
        <f>IF('4-1.参照シートー１'!$G25="","",'4-1.参照シートー１'!$G25)</f>
        <v>20100</v>
      </c>
      <c r="G25" s="625">
        <f>IF($E$4="","",IF(AND($I25&gt;=20,$D25=88,'4-1.参照シートー１'!$R25&gt;104000),($R25+$V25)*$G$12,0))</f>
        <v>20100</v>
      </c>
      <c r="H25" s="623">
        <f t="shared" si="10"/>
        <v>10</v>
      </c>
      <c r="I25" s="624">
        <f t="shared" si="11"/>
        <v>26</v>
      </c>
      <c r="J25" s="602">
        <f t="shared" si="2"/>
        <v>1355.7142857142858</v>
      </c>
      <c r="K25" s="601">
        <f t="shared" si="12"/>
        <v>112976.19047619047</v>
      </c>
      <c r="L25" s="602">
        <f t="shared" si="13"/>
        <v>133076.19047619047</v>
      </c>
      <c r="M25" s="617">
        <f t="shared" si="14"/>
        <v>135076.19047619047</v>
      </c>
      <c r="N25" s="604">
        <f t="shared" si="6"/>
        <v>1620914.2857142857</v>
      </c>
      <c r="O25" s="618">
        <f t="shared" si="7"/>
        <v>117476.19047619047</v>
      </c>
      <c r="P25" s="606">
        <f>IF($E$4="",0,IF($O25=0,0,VLOOKUP($O25,'3-1.標準報酬月額・保険料表'!$N$8:$O$57,2,TRUE)))</f>
        <v>118000</v>
      </c>
      <c r="Q25" s="619">
        <f t="shared" si="8"/>
        <v>137576.19047619047</v>
      </c>
      <c r="R25" s="620">
        <f>IF($E$4="",0,IF($Q25=0,0,VLOOKUP($Q25,'3-1.標準報酬月額・保険料表'!$N$8:$O$57,2,TRUE)))</f>
        <v>134000</v>
      </c>
      <c r="S25" s="605">
        <f t="shared" si="9"/>
        <v>137576.19047619047</v>
      </c>
      <c r="T25" s="609">
        <f>IF($E$4="",0,IF($S25=0,0,VLOOKUP($S25,'3-1.標準報酬月額・保険料表'!$N$8:$O$57,2,TRUE)))</f>
        <v>134000</v>
      </c>
      <c r="U25" s="621">
        <f t="shared" si="3"/>
        <v>0</v>
      </c>
      <c r="V25" s="611">
        <f t="shared" si="4"/>
        <v>0</v>
      </c>
      <c r="W25" s="612">
        <f t="shared" si="5"/>
        <v>112976.19047619047</v>
      </c>
    </row>
    <row r="26" spans="2:23" ht="21.95" customHeight="1" x14ac:dyDescent="0.15">
      <c r="B26" s="594">
        <v>12</v>
      </c>
      <c r="C26" s="613">
        <f t="shared" si="0"/>
        <v>1000</v>
      </c>
      <c r="D26" s="622">
        <f t="shared" si="1"/>
        <v>88</v>
      </c>
      <c r="E26" s="597">
        <f>IF($E$4="","",IF(AND($I26&gt;=20,$D26=88,'4-1.参照シートー１'!$R26&lt;=104000),($P26+$V26)*$G$12,0))</f>
        <v>0</v>
      </c>
      <c r="F26" s="640">
        <f>IF('4-1.参照シートー１'!$G26="","",'4-1.参照シートー１'!$G26)</f>
        <v>21300</v>
      </c>
      <c r="G26" s="625">
        <f>IF($E$4="","",IF(AND($I26&gt;=20,$D26=88,'4-1.参照シートー１'!$R26&gt;104000),($R26+$V26)*$G$12,0))</f>
        <v>21300</v>
      </c>
      <c r="H26" s="623">
        <f t="shared" si="10"/>
        <v>11</v>
      </c>
      <c r="I26" s="624">
        <f t="shared" si="11"/>
        <v>27</v>
      </c>
      <c r="J26" s="602">
        <f t="shared" si="2"/>
        <v>1407.8571428571429</v>
      </c>
      <c r="K26" s="601">
        <f t="shared" si="12"/>
        <v>117321.42857142858</v>
      </c>
      <c r="L26" s="602">
        <f t="shared" si="13"/>
        <v>138621.42857142858</v>
      </c>
      <c r="M26" s="617">
        <f t="shared" si="14"/>
        <v>140621.42857142858</v>
      </c>
      <c r="N26" s="604">
        <f t="shared" si="6"/>
        <v>1687457.142857143</v>
      </c>
      <c r="O26" s="618">
        <f t="shared" si="7"/>
        <v>121821.42857142858</v>
      </c>
      <c r="P26" s="606">
        <f>IF($E$4="",0,IF($O26=0,0,VLOOKUP($O26,'3-1.標準報酬月額・保険料表'!$N$8:$O$57,2,TRUE)))</f>
        <v>118000</v>
      </c>
      <c r="Q26" s="619">
        <f t="shared" si="8"/>
        <v>143121.42857142858</v>
      </c>
      <c r="R26" s="620">
        <f>IF($E$4="",0,IF($Q26=0,0,VLOOKUP($Q26,'3-1.標準報酬月額・保険料表'!$N$8:$O$57,2,TRUE)))</f>
        <v>142000</v>
      </c>
      <c r="S26" s="605">
        <f t="shared" si="9"/>
        <v>143121.42857142858</v>
      </c>
      <c r="T26" s="609">
        <f>IF($E$4="",0,IF($S26=0,0,VLOOKUP($S26,'3-1.標準報酬月額・保険料表'!$N$8:$O$57,2,TRUE)))</f>
        <v>142000</v>
      </c>
      <c r="U26" s="621">
        <f t="shared" si="3"/>
        <v>0</v>
      </c>
      <c r="V26" s="611">
        <f t="shared" si="4"/>
        <v>0</v>
      </c>
      <c r="W26" s="612">
        <f t="shared" si="5"/>
        <v>117321.42857142858</v>
      </c>
    </row>
    <row r="27" spans="2:23" ht="21.95" customHeight="1" x14ac:dyDescent="0.15">
      <c r="B27" s="594">
        <v>13</v>
      </c>
      <c r="C27" s="613">
        <f t="shared" si="0"/>
        <v>1000</v>
      </c>
      <c r="D27" s="622">
        <f t="shared" si="1"/>
        <v>88</v>
      </c>
      <c r="E27" s="597">
        <f>IF($E$4="","",IF(AND($I27&gt;=20,$D27=88,'4-1.参照シートー１'!$R27&lt;=104000),($P27+$V27)*$G$12,0))</f>
        <v>0</v>
      </c>
      <c r="F27" s="640">
        <f>IF('4-1.参照シートー１'!$G27="","",'4-1.参照シートー１'!$G27)</f>
        <v>21300</v>
      </c>
      <c r="G27" s="625">
        <f>IF($E$4="","",IF(AND($I27&gt;=20,$D27=88,'4-1.参照シートー１'!$R27&gt;104000),($R27+$V27)*$G$12,0))</f>
        <v>22500</v>
      </c>
      <c r="H27" s="623">
        <f t="shared" si="10"/>
        <v>12</v>
      </c>
      <c r="I27" s="624">
        <f t="shared" si="11"/>
        <v>28</v>
      </c>
      <c r="J27" s="602">
        <f t="shared" si="2"/>
        <v>1460</v>
      </c>
      <c r="K27" s="601">
        <f t="shared" si="12"/>
        <v>121666.66666666667</v>
      </c>
      <c r="L27" s="602">
        <f t="shared" si="13"/>
        <v>142966.66666666669</v>
      </c>
      <c r="M27" s="617">
        <f t="shared" si="14"/>
        <v>144966.66666666669</v>
      </c>
      <c r="N27" s="604">
        <f t="shared" si="6"/>
        <v>1739600.0000000002</v>
      </c>
      <c r="O27" s="618">
        <f t="shared" si="7"/>
        <v>126166.66666666667</v>
      </c>
      <c r="P27" s="606">
        <f>IF($E$4="",0,IF($O27=0,0,VLOOKUP($O27,'3-1.標準報酬月額・保険料表'!$N$8:$O$57,2,TRUE)))</f>
        <v>126000</v>
      </c>
      <c r="Q27" s="619">
        <f t="shared" si="8"/>
        <v>147466.66666666669</v>
      </c>
      <c r="R27" s="620">
        <f>IF($E$4="",0,IF($Q27=0,0,VLOOKUP($Q27,'3-1.標準報酬月額・保険料表'!$N$8:$O$57,2,TRUE)))</f>
        <v>150000</v>
      </c>
      <c r="S27" s="605">
        <f t="shared" si="9"/>
        <v>148666.66666666669</v>
      </c>
      <c r="T27" s="609">
        <f>IF($E$4="",0,IF($S27=0,0,VLOOKUP($S27,'3-1.標準報酬月額・保険料表'!$N$8:$O$57,2,TRUE)))</f>
        <v>150000</v>
      </c>
      <c r="U27" s="621">
        <f t="shared" si="3"/>
        <v>0</v>
      </c>
      <c r="V27" s="611">
        <f t="shared" si="4"/>
        <v>0</v>
      </c>
      <c r="W27" s="612">
        <f t="shared" si="5"/>
        <v>121666.66666666667</v>
      </c>
    </row>
    <row r="28" spans="2:23" ht="21.95" customHeight="1" x14ac:dyDescent="0.15">
      <c r="B28" s="594">
        <v>14</v>
      </c>
      <c r="C28" s="613">
        <f t="shared" si="0"/>
        <v>1000</v>
      </c>
      <c r="D28" s="622">
        <f t="shared" si="1"/>
        <v>88</v>
      </c>
      <c r="E28" s="597">
        <f>IF($E$4="","",IF(AND($I28&gt;=20,$D28=88,'4-1.参照シートー１'!$R28&lt;=104000),($P28+$V28)*$G$12,0))</f>
        <v>0</v>
      </c>
      <c r="F28" s="640">
        <f>IF('4-1.参照シートー１'!$G28="","",'4-1.参照シートー１'!$G28)</f>
        <v>22500</v>
      </c>
      <c r="G28" s="625">
        <f>IF($E$4="","",IF(AND($I28&gt;=20,$D28=88,'4-1.参照シートー１'!$R28&gt;104000),($R28+$V28)*$G$12,0))</f>
        <v>22500</v>
      </c>
      <c r="H28" s="623">
        <f t="shared" si="10"/>
        <v>13</v>
      </c>
      <c r="I28" s="624">
        <f t="shared" si="11"/>
        <v>29</v>
      </c>
      <c r="J28" s="602">
        <f t="shared" si="2"/>
        <v>1512.1428571428571</v>
      </c>
      <c r="K28" s="601">
        <f t="shared" si="12"/>
        <v>126011.90476190475</v>
      </c>
      <c r="L28" s="602">
        <f t="shared" si="13"/>
        <v>148511.90476190473</v>
      </c>
      <c r="M28" s="617">
        <f t="shared" si="14"/>
        <v>150511.90476190473</v>
      </c>
      <c r="N28" s="604">
        <f t="shared" si="6"/>
        <v>1806142.8571428568</v>
      </c>
      <c r="O28" s="618">
        <f t="shared" si="7"/>
        <v>130511.90476190475</v>
      </c>
      <c r="P28" s="606">
        <f>IF($E$4="",0,IF($O28=0,0,VLOOKUP($O28,'3-1.標準報酬月額・保険料表'!$N$8:$O$57,2,TRUE)))</f>
        <v>134000</v>
      </c>
      <c r="Q28" s="619">
        <f t="shared" si="8"/>
        <v>153011.90476190473</v>
      </c>
      <c r="R28" s="620">
        <f>IF($E$4="",0,IF($Q28=0,0,VLOOKUP($Q28,'3-1.標準報酬月額・保険料表'!$N$8:$O$57,2,TRUE)))</f>
        <v>150000</v>
      </c>
      <c r="S28" s="605">
        <f t="shared" si="9"/>
        <v>153011.90476190473</v>
      </c>
      <c r="T28" s="609">
        <f>IF($E$4="",0,IF($S28=0,0,VLOOKUP($S28,'3-1.標準報酬月額・保険料表'!$N$8:$O$57,2,TRUE)))</f>
        <v>150000</v>
      </c>
      <c r="U28" s="621">
        <f t="shared" si="3"/>
        <v>0</v>
      </c>
      <c r="V28" s="611">
        <f t="shared" si="4"/>
        <v>0</v>
      </c>
      <c r="W28" s="612">
        <f t="shared" si="5"/>
        <v>126011.90476190475</v>
      </c>
    </row>
    <row r="29" spans="2:23" ht="21.95" customHeight="1" x14ac:dyDescent="0.15">
      <c r="B29" s="594">
        <v>15</v>
      </c>
      <c r="C29" s="613">
        <f t="shared" si="0"/>
        <v>1000</v>
      </c>
      <c r="D29" s="622">
        <f t="shared" si="1"/>
        <v>88</v>
      </c>
      <c r="E29" s="597">
        <f>IF($E$4="","",IF(AND($I29&gt;=20,$D29=88,'4-1.参照シートー１'!$R29&lt;=104000),($P29+$V29)*$G$12,0))</f>
        <v>0</v>
      </c>
      <c r="F29" s="640">
        <f>IF('4-1.参照シートー１'!$G29="","",'4-1.参照シートー１'!$G29)</f>
        <v>22500</v>
      </c>
      <c r="G29" s="625">
        <f>IF($E$4="","",IF(AND($I29&gt;=20,$D29=88,'4-1.参照シートー１'!$R29&gt;104000),($R29+$V29)*$G$12,0))</f>
        <v>24000</v>
      </c>
      <c r="H29" s="623">
        <f t="shared" si="10"/>
        <v>14</v>
      </c>
      <c r="I29" s="624">
        <f t="shared" si="11"/>
        <v>30</v>
      </c>
      <c r="J29" s="602">
        <f t="shared" si="2"/>
        <v>1564.2857142857142</v>
      </c>
      <c r="K29" s="601">
        <f t="shared" si="12"/>
        <v>130357.14285714286</v>
      </c>
      <c r="L29" s="602">
        <f t="shared" si="13"/>
        <v>152857.14285714284</v>
      </c>
      <c r="M29" s="617">
        <f t="shared" si="14"/>
        <v>154857.14285714284</v>
      </c>
      <c r="N29" s="604">
        <f t="shared" si="6"/>
        <v>1858285.7142857141</v>
      </c>
      <c r="O29" s="618">
        <f t="shared" si="7"/>
        <v>134857.14285714284</v>
      </c>
      <c r="P29" s="606">
        <f>IF($E$4="",0,IF($O29=0,0,VLOOKUP($O29,'3-1.標準報酬月額・保険料表'!$N$8:$O$57,2,TRUE)))</f>
        <v>134000</v>
      </c>
      <c r="Q29" s="619">
        <f t="shared" si="8"/>
        <v>157357.14285714284</v>
      </c>
      <c r="R29" s="620">
        <f>IF($E$4="",0,IF($Q29=0,0,VLOOKUP($Q29,'3-1.標準報酬月額・保険料表'!$N$8:$O$57,2,TRUE)))</f>
        <v>160000</v>
      </c>
      <c r="S29" s="605">
        <f t="shared" si="9"/>
        <v>158857.14285714284</v>
      </c>
      <c r="T29" s="609">
        <f>IF($E$4="",0,IF($S29=0,0,VLOOKUP($S29,'3-1.標準報酬月額・保険料表'!$N$8:$O$57,2,TRUE)))</f>
        <v>160000</v>
      </c>
      <c r="U29" s="621">
        <f t="shared" si="3"/>
        <v>0</v>
      </c>
      <c r="V29" s="611">
        <f t="shared" si="4"/>
        <v>0</v>
      </c>
      <c r="W29" s="612">
        <f t="shared" si="5"/>
        <v>130357.14285714286</v>
      </c>
    </row>
    <row r="30" spans="2:23" ht="21.95" customHeight="1" x14ac:dyDescent="0.15">
      <c r="B30" s="594">
        <v>16</v>
      </c>
      <c r="C30" s="613">
        <f t="shared" si="0"/>
        <v>1000</v>
      </c>
      <c r="D30" s="622">
        <f t="shared" si="1"/>
        <v>88</v>
      </c>
      <c r="E30" s="597">
        <f>IF($E$4="","",IF(AND($I30&gt;=20,$D30=88,'4-1.参照シートー１'!$R30&lt;=104000),($P30+$V30)*$G$12,0))</f>
        <v>0</v>
      </c>
      <c r="F30" s="640">
        <f>IF('4-1.参照シートー１'!$G30="","",'4-1.参照シートー１'!$G30)</f>
        <v>24000</v>
      </c>
      <c r="G30" s="625">
        <f>IF($E$4="","",IF(AND($I30&gt;=20,$D30=88,'4-1.参照シートー１'!$R30&gt;104000),($R30+$V30)*$G$12,0))</f>
        <v>24000</v>
      </c>
      <c r="H30" s="623">
        <f t="shared" si="10"/>
        <v>15</v>
      </c>
      <c r="I30" s="624">
        <f t="shared" si="11"/>
        <v>31</v>
      </c>
      <c r="J30" s="602">
        <f t="shared" si="2"/>
        <v>1616.4285714285713</v>
      </c>
      <c r="K30" s="601">
        <f t="shared" si="12"/>
        <v>134702.38095238095</v>
      </c>
      <c r="L30" s="602">
        <f t="shared" si="13"/>
        <v>158702.38095238095</v>
      </c>
      <c r="M30" s="617">
        <f t="shared" si="14"/>
        <v>160702.38095238095</v>
      </c>
      <c r="N30" s="604">
        <f t="shared" si="6"/>
        <v>1928428.5714285714</v>
      </c>
      <c r="O30" s="618">
        <f t="shared" si="7"/>
        <v>139202.38095238095</v>
      </c>
      <c r="P30" s="606">
        <f>IF($E$4="",0,IF($O30=0,0,VLOOKUP($O30,'3-1.標準報酬月額・保険料表'!$N$8:$O$57,2,TRUE)))</f>
        <v>142000</v>
      </c>
      <c r="Q30" s="619">
        <f t="shared" si="8"/>
        <v>163202.38095238095</v>
      </c>
      <c r="R30" s="620">
        <f>IF($E$4="",0,IF($Q30=0,0,VLOOKUP($Q30,'3-1.標準報酬月額・保険料表'!$N$8:$O$57,2,TRUE)))</f>
        <v>160000</v>
      </c>
      <c r="S30" s="605">
        <f t="shared" si="9"/>
        <v>163202.38095238095</v>
      </c>
      <c r="T30" s="609">
        <f>IF($E$4="",0,IF($S30=0,0,VLOOKUP($S30,'3-1.標準報酬月額・保険料表'!$N$8:$O$57,2,TRUE)))</f>
        <v>160000</v>
      </c>
      <c r="U30" s="621">
        <f t="shared" si="3"/>
        <v>0</v>
      </c>
      <c r="V30" s="611">
        <f t="shared" si="4"/>
        <v>0</v>
      </c>
      <c r="W30" s="612">
        <f t="shared" si="5"/>
        <v>134702.38095238095</v>
      </c>
    </row>
    <row r="31" spans="2:23" ht="21.95" customHeight="1" x14ac:dyDescent="0.15">
      <c r="B31" s="594">
        <v>17</v>
      </c>
      <c r="C31" s="613">
        <f t="shared" si="0"/>
        <v>1000</v>
      </c>
      <c r="D31" s="622">
        <f t="shared" si="1"/>
        <v>88</v>
      </c>
      <c r="E31" s="597">
        <f>IF($E$4="","",IF(AND($I31&gt;=20,$D31=88,'4-1.参照シートー１'!$R31&lt;=104000),($P31+$V31)*$G$12,0))</f>
        <v>0</v>
      </c>
      <c r="F31" s="640">
        <f>IF('4-1.参照シートー１'!$G31="","",'4-1.参照シートー１'!$G31)</f>
        <v>24000</v>
      </c>
      <c r="G31" s="625">
        <f>IF($E$4="","",IF(AND($I31&gt;=20,$D31=88,'4-1.参照シートー１'!$R31&gt;104000),($R31+$V31)*$G$12,0))</f>
        <v>25500</v>
      </c>
      <c r="H31" s="623">
        <f t="shared" si="10"/>
        <v>16</v>
      </c>
      <c r="I31" s="624">
        <f t="shared" si="11"/>
        <v>32</v>
      </c>
      <c r="J31" s="602">
        <f t="shared" si="2"/>
        <v>1668.5714285714287</v>
      </c>
      <c r="K31" s="601">
        <f t="shared" si="12"/>
        <v>139047.61904761905</v>
      </c>
      <c r="L31" s="602">
        <f t="shared" si="13"/>
        <v>163047.61904761905</v>
      </c>
      <c r="M31" s="617">
        <f t="shared" si="14"/>
        <v>165047.61904761905</v>
      </c>
      <c r="N31" s="604">
        <f t="shared" si="6"/>
        <v>1980571.4285714286</v>
      </c>
      <c r="O31" s="618">
        <f t="shared" si="7"/>
        <v>143547.61904761905</v>
      </c>
      <c r="P31" s="606">
        <f>IF($E$4="",0,IF($O31=0,0,VLOOKUP($O31,'3-1.標準報酬月額・保険料表'!$N$8:$O$57,2,TRUE)))</f>
        <v>142000</v>
      </c>
      <c r="Q31" s="619">
        <f t="shared" si="8"/>
        <v>167547.61904761905</v>
      </c>
      <c r="R31" s="620">
        <f>IF($E$4="",0,IF($Q31=0,0,VLOOKUP($Q31,'3-1.標準報酬月額・保険料表'!$N$8:$O$57,2,TRUE)))</f>
        <v>170000</v>
      </c>
      <c r="S31" s="605">
        <f t="shared" si="9"/>
        <v>169047.61904761905</v>
      </c>
      <c r="T31" s="609">
        <f>IF($E$4="",0,IF($S31=0,0,VLOOKUP($S31,'3-1.標準報酬月額・保険料表'!$N$8:$O$57,2,TRUE)))</f>
        <v>170000</v>
      </c>
      <c r="U31" s="621">
        <f t="shared" si="3"/>
        <v>0</v>
      </c>
      <c r="V31" s="611">
        <f t="shared" si="4"/>
        <v>0</v>
      </c>
      <c r="W31" s="612">
        <f t="shared" si="5"/>
        <v>139047.61904761905</v>
      </c>
    </row>
    <row r="32" spans="2:23" ht="21.95" customHeight="1" x14ac:dyDescent="0.15">
      <c r="B32" s="594">
        <v>18</v>
      </c>
      <c r="C32" s="613">
        <f t="shared" si="0"/>
        <v>1000</v>
      </c>
      <c r="D32" s="622">
        <f t="shared" si="1"/>
        <v>88</v>
      </c>
      <c r="E32" s="597">
        <f>IF($E$4="","",IF(AND($I32&gt;=20,$D32=88,'4-1.参照シートー１'!$R32&lt;=104000),($P32+$V32)*$G$12,0))</f>
        <v>0</v>
      </c>
      <c r="F32" s="640">
        <f>IF('4-1.参照シートー１'!$G32="","",'4-1.参照シートー１'!$G32)</f>
        <v>25500</v>
      </c>
      <c r="G32" s="625">
        <f>IF($E$4="","",IF(AND($I32&gt;=20,$D32=88,'4-1.参照シートー１'!$R32&gt;104000),($R32+$V32)*$G$12,0))</f>
        <v>25500</v>
      </c>
      <c r="H32" s="623">
        <f t="shared" si="10"/>
        <v>17</v>
      </c>
      <c r="I32" s="624">
        <f t="shared" si="11"/>
        <v>33</v>
      </c>
      <c r="J32" s="602">
        <f t="shared" si="2"/>
        <v>1720.7142857142858</v>
      </c>
      <c r="K32" s="601">
        <f t="shared" si="12"/>
        <v>143392.85714285713</v>
      </c>
      <c r="L32" s="602">
        <f t="shared" si="13"/>
        <v>168892.85714285713</v>
      </c>
      <c r="M32" s="617">
        <f t="shared" si="14"/>
        <v>170892.85714285713</v>
      </c>
      <c r="N32" s="604">
        <f t="shared" si="6"/>
        <v>2050714.2857142854</v>
      </c>
      <c r="O32" s="618">
        <f t="shared" si="7"/>
        <v>147892.85714285713</v>
      </c>
      <c r="P32" s="606">
        <f>IF($E$4="",0,IF($O32=0,0,VLOOKUP($O32,'3-1.標準報酬月額・保険料表'!$N$8:$O$57,2,TRUE)))</f>
        <v>150000</v>
      </c>
      <c r="Q32" s="619">
        <f t="shared" si="8"/>
        <v>173392.85714285713</v>
      </c>
      <c r="R32" s="620">
        <f>IF($E$4="",0,IF($Q32=0,0,VLOOKUP($Q32,'3-1.標準報酬月額・保険料表'!$N$8:$O$57,2,TRUE)))</f>
        <v>170000</v>
      </c>
      <c r="S32" s="605">
        <f t="shared" si="9"/>
        <v>173392.85714285713</v>
      </c>
      <c r="T32" s="609">
        <f>IF($E$4="",0,IF($S32=0,0,VLOOKUP($S32,'3-1.標準報酬月額・保険料表'!$N$8:$O$57,2,TRUE)))</f>
        <v>170000</v>
      </c>
      <c r="U32" s="621">
        <f t="shared" si="3"/>
        <v>0</v>
      </c>
      <c r="V32" s="611">
        <f t="shared" si="4"/>
        <v>0</v>
      </c>
      <c r="W32" s="612">
        <f t="shared" si="5"/>
        <v>143392.85714285713</v>
      </c>
    </row>
    <row r="33" spans="2:23" ht="21.95" customHeight="1" x14ac:dyDescent="0.15">
      <c r="B33" s="594">
        <v>19</v>
      </c>
      <c r="C33" s="613">
        <f t="shared" si="0"/>
        <v>1000</v>
      </c>
      <c r="D33" s="622">
        <f t="shared" si="1"/>
        <v>88</v>
      </c>
      <c r="E33" s="597">
        <f>IF($E$4="","",IF(AND($I33&gt;=20,$D33=88,'4-1.参照シートー１'!$R33&lt;=104000),($P33+$V33)*$G$12,0))</f>
        <v>0</v>
      </c>
      <c r="F33" s="640">
        <f>IF('4-1.参照シートー１'!$G33="","",'4-1.参照シートー１'!$G33)</f>
        <v>25500</v>
      </c>
      <c r="G33" s="625">
        <f>IF($E$4="","",IF(AND($I33&gt;=20,$D33=88,'4-1.参照シートー１'!$R33&gt;104000),($R33+$V33)*$G$12,0))</f>
        <v>27000</v>
      </c>
      <c r="H33" s="623">
        <f t="shared" si="10"/>
        <v>18</v>
      </c>
      <c r="I33" s="624">
        <f t="shared" si="11"/>
        <v>34</v>
      </c>
      <c r="J33" s="602">
        <f t="shared" si="2"/>
        <v>1772.8571428571429</v>
      </c>
      <c r="K33" s="601">
        <f t="shared" si="12"/>
        <v>147738.09523809524</v>
      </c>
      <c r="L33" s="602">
        <f t="shared" si="13"/>
        <v>173238.09523809524</v>
      </c>
      <c r="M33" s="617">
        <f t="shared" si="14"/>
        <v>175238.09523809524</v>
      </c>
      <c r="N33" s="604">
        <f t="shared" si="6"/>
        <v>2102857.1428571427</v>
      </c>
      <c r="O33" s="618">
        <f t="shared" si="7"/>
        <v>152238.09523809524</v>
      </c>
      <c r="P33" s="606">
        <f>IF($E$4="",0,IF($O33=0,0,VLOOKUP($O33,'3-1.標準報酬月額・保険料表'!$N$8:$O$57,2,TRUE)))</f>
        <v>150000</v>
      </c>
      <c r="Q33" s="619">
        <f t="shared" si="8"/>
        <v>177738.09523809524</v>
      </c>
      <c r="R33" s="620">
        <f>IF($E$4="",0,IF($Q33=0,0,VLOOKUP($Q33,'3-1.標準報酬月額・保険料表'!$N$8:$O$57,2,TRUE)))</f>
        <v>180000</v>
      </c>
      <c r="S33" s="605">
        <f t="shared" si="9"/>
        <v>179238.09523809524</v>
      </c>
      <c r="T33" s="609">
        <f>IF($E$4="",0,IF($S33=0,0,VLOOKUP($S33,'3-1.標準報酬月額・保険料表'!$N$8:$O$57,2,TRUE)))</f>
        <v>180000</v>
      </c>
      <c r="U33" s="621">
        <f t="shared" si="3"/>
        <v>0</v>
      </c>
      <c r="V33" s="611">
        <f t="shared" si="4"/>
        <v>0</v>
      </c>
      <c r="W33" s="612">
        <f t="shared" si="5"/>
        <v>147738.09523809524</v>
      </c>
    </row>
    <row r="34" spans="2:23" ht="21.95" customHeight="1" x14ac:dyDescent="0.15">
      <c r="B34" s="594">
        <v>20</v>
      </c>
      <c r="C34" s="613">
        <f t="shared" si="0"/>
        <v>1000</v>
      </c>
      <c r="D34" s="622">
        <f t="shared" si="1"/>
        <v>88</v>
      </c>
      <c r="E34" s="597">
        <f>IF($E$4="","",IF(AND($I34&gt;=20,$D34=88,'4-1.参照シートー１'!$R34&lt;=104000),($P34+$V34)*$G$12,0))</f>
        <v>0</v>
      </c>
      <c r="F34" s="640">
        <f>IF('4-1.参照シートー１'!$G34="","",'4-1.参照シートー１'!$G34)</f>
        <v>27000</v>
      </c>
      <c r="G34" s="625">
        <f>IF($E$4="","",IF(AND($I34&gt;=20,$D34=88,'4-1.参照シートー１'!$R34&gt;104000),($R34+$V34)*$G$12,0))</f>
        <v>27000</v>
      </c>
      <c r="H34" s="623">
        <f t="shared" si="10"/>
        <v>19</v>
      </c>
      <c r="I34" s="624">
        <f t="shared" si="11"/>
        <v>35</v>
      </c>
      <c r="J34" s="602">
        <f t="shared" si="2"/>
        <v>1825</v>
      </c>
      <c r="K34" s="601">
        <f t="shared" si="12"/>
        <v>152083.33333333334</v>
      </c>
      <c r="L34" s="602">
        <f t="shared" si="13"/>
        <v>179083.33333333334</v>
      </c>
      <c r="M34" s="617">
        <f t="shared" si="14"/>
        <v>181083.33333333334</v>
      </c>
      <c r="N34" s="604">
        <f t="shared" si="6"/>
        <v>2173000</v>
      </c>
      <c r="O34" s="618">
        <f t="shared" si="7"/>
        <v>156583.33333333334</v>
      </c>
      <c r="P34" s="606">
        <f>IF($E$4="",0,IF($O34=0,0,VLOOKUP($O34,'3-1.標準報酬月額・保険料表'!$N$8:$O$57,2,TRUE)))</f>
        <v>160000</v>
      </c>
      <c r="Q34" s="619">
        <f t="shared" si="8"/>
        <v>183583.33333333334</v>
      </c>
      <c r="R34" s="620">
        <f>IF($E$4="",0,IF($Q34=0,0,VLOOKUP($Q34,'3-1.標準報酬月額・保険料表'!$N$8:$O$57,2,TRUE)))</f>
        <v>180000</v>
      </c>
      <c r="S34" s="605">
        <f t="shared" si="9"/>
        <v>183583.33333333334</v>
      </c>
      <c r="T34" s="609">
        <f>IF($E$4="",0,IF($S34=0,0,VLOOKUP($S34,'3-1.標準報酬月額・保険料表'!$N$8:$O$57,2,TRUE)))</f>
        <v>180000</v>
      </c>
      <c r="U34" s="621">
        <f t="shared" si="3"/>
        <v>0</v>
      </c>
      <c r="V34" s="611">
        <f t="shared" si="4"/>
        <v>0</v>
      </c>
      <c r="W34" s="612">
        <f t="shared" si="5"/>
        <v>152083.33333333334</v>
      </c>
    </row>
    <row r="35" spans="2:23" ht="21.95" customHeight="1" x14ac:dyDescent="0.15">
      <c r="B35" s="594">
        <v>21</v>
      </c>
      <c r="C35" s="613">
        <f t="shared" si="0"/>
        <v>1000</v>
      </c>
      <c r="D35" s="622">
        <f t="shared" si="1"/>
        <v>88</v>
      </c>
      <c r="E35" s="597">
        <f>IF($E$4="","",IF(AND($I35&gt;=20,$D35=88,'4-1.参照シートー１'!$R35&lt;=104000),($P35+$V35)*$G$12,0))</f>
        <v>0</v>
      </c>
      <c r="F35" s="640">
        <f>IF('4-1.参照シートー１'!$G35="","",'4-1.参照シートー１'!$G35)</f>
        <v>27000</v>
      </c>
      <c r="G35" s="625">
        <f>IF($E$4="","",IF(AND($I35&gt;=20,$D35=88,'4-1.参照シートー１'!$R35&gt;104000),($R35+$V35)*$G$12,0))</f>
        <v>28500</v>
      </c>
      <c r="H35" s="623">
        <f t="shared" si="10"/>
        <v>20</v>
      </c>
      <c r="I35" s="624">
        <f t="shared" si="11"/>
        <v>36</v>
      </c>
      <c r="J35" s="602">
        <f t="shared" si="2"/>
        <v>1877.1428571428571</v>
      </c>
      <c r="K35" s="601">
        <f t="shared" si="12"/>
        <v>156428.57142857142</v>
      </c>
      <c r="L35" s="602">
        <f t="shared" si="13"/>
        <v>183428.57142857142</v>
      </c>
      <c r="M35" s="617">
        <f t="shared" si="14"/>
        <v>185428.57142857142</v>
      </c>
      <c r="N35" s="604">
        <f t="shared" si="6"/>
        <v>2225142.8571428573</v>
      </c>
      <c r="O35" s="618">
        <f t="shared" si="7"/>
        <v>160928.57142857142</v>
      </c>
      <c r="P35" s="606">
        <f>IF($E$4="",0,IF($O35=0,0,VLOOKUP($O35,'3-1.標準報酬月額・保険料表'!$N$8:$O$57,2,TRUE)))</f>
        <v>160000</v>
      </c>
      <c r="Q35" s="619">
        <f t="shared" si="8"/>
        <v>187928.57142857142</v>
      </c>
      <c r="R35" s="620">
        <f>IF($E$4="",0,IF($Q35=0,0,VLOOKUP($Q35,'3-1.標準報酬月額・保険料表'!$N$8:$O$57,2,TRUE)))</f>
        <v>190000</v>
      </c>
      <c r="S35" s="605">
        <f t="shared" si="9"/>
        <v>189428.57142857142</v>
      </c>
      <c r="T35" s="609">
        <f>IF($E$4="",0,IF($S35=0,0,VLOOKUP($S35,'3-1.標準報酬月額・保険料表'!$N$8:$O$57,2,TRUE)))</f>
        <v>190000</v>
      </c>
      <c r="U35" s="621">
        <f t="shared" si="3"/>
        <v>0</v>
      </c>
      <c r="V35" s="611">
        <f t="shared" si="4"/>
        <v>0</v>
      </c>
      <c r="W35" s="612">
        <f t="shared" si="5"/>
        <v>156428.57142857142</v>
      </c>
    </row>
    <row r="36" spans="2:23" ht="21.95" customHeight="1" x14ac:dyDescent="0.15">
      <c r="B36" s="594">
        <v>22</v>
      </c>
      <c r="C36" s="613">
        <f t="shared" si="0"/>
        <v>1000</v>
      </c>
      <c r="D36" s="622">
        <f t="shared" si="1"/>
        <v>88</v>
      </c>
      <c r="E36" s="597">
        <f>IF($E$4="","",IF(AND($I36&gt;=20,$D36=88,'4-1.参照シートー１'!$R36&lt;=104000),($P36+$V36)*$G$12,0))</f>
        <v>0</v>
      </c>
      <c r="F36" s="640">
        <f>IF('4-1.参照シートー１'!$G36="","",'4-1.参照シートー１'!$G36)</f>
        <v>28500</v>
      </c>
      <c r="G36" s="625">
        <f>IF($E$4="","",IF(AND($I36&gt;=20,$D36=88,'4-1.参照シートー１'!$R36&gt;104000),($R36+$V36)*$G$12,0))</f>
        <v>28500</v>
      </c>
      <c r="H36" s="623">
        <f t="shared" si="10"/>
        <v>21</v>
      </c>
      <c r="I36" s="624">
        <f t="shared" si="11"/>
        <v>37</v>
      </c>
      <c r="J36" s="602">
        <f t="shared" si="2"/>
        <v>1929.2857142857142</v>
      </c>
      <c r="K36" s="601">
        <f t="shared" si="12"/>
        <v>160773.80952380953</v>
      </c>
      <c r="L36" s="602">
        <f t="shared" si="13"/>
        <v>189273.80952380953</v>
      </c>
      <c r="M36" s="617">
        <f t="shared" si="14"/>
        <v>191273.80952380953</v>
      </c>
      <c r="N36" s="604">
        <f t="shared" si="6"/>
        <v>2295285.7142857146</v>
      </c>
      <c r="O36" s="618">
        <f t="shared" si="7"/>
        <v>165273.80952380953</v>
      </c>
      <c r="P36" s="606">
        <f>IF($E$4="",0,IF($O36=0,0,VLOOKUP($O36,'3-1.標準報酬月額・保険料表'!$N$8:$O$57,2,TRUE)))</f>
        <v>170000</v>
      </c>
      <c r="Q36" s="619">
        <f t="shared" si="8"/>
        <v>193773.80952380953</v>
      </c>
      <c r="R36" s="620">
        <f>IF($E$4="",0,IF($Q36=0,0,VLOOKUP($Q36,'3-1.標準報酬月額・保険料表'!$N$8:$O$57,2,TRUE)))</f>
        <v>190000</v>
      </c>
      <c r="S36" s="605">
        <f t="shared" si="9"/>
        <v>193773.80952380953</v>
      </c>
      <c r="T36" s="609">
        <f>IF($E$4="",0,IF($S36=0,0,VLOOKUP($S36,'3-1.標準報酬月額・保険料表'!$N$8:$O$57,2,TRUE)))</f>
        <v>190000</v>
      </c>
      <c r="U36" s="621">
        <f t="shared" si="3"/>
        <v>0</v>
      </c>
      <c r="V36" s="611">
        <f t="shared" si="4"/>
        <v>0</v>
      </c>
      <c r="W36" s="612">
        <f t="shared" si="5"/>
        <v>160773.80952380953</v>
      </c>
    </row>
    <row r="37" spans="2:23" ht="21.95" customHeight="1" x14ac:dyDescent="0.15">
      <c r="B37" s="594">
        <v>23</v>
      </c>
      <c r="C37" s="613">
        <f t="shared" si="0"/>
        <v>1000</v>
      </c>
      <c r="D37" s="622">
        <f t="shared" si="1"/>
        <v>88</v>
      </c>
      <c r="E37" s="597">
        <f>IF($E$4="","",IF(AND($I37&gt;=20,$D37=88,'4-1.参照シートー１'!$R37&lt;=104000),($P37+$V37)*$G$12,0))</f>
        <v>0</v>
      </c>
      <c r="F37" s="640">
        <f>IF('4-1.参照シートー１'!$G37="","",'4-1.参照シートー１'!$G37)</f>
        <v>30000</v>
      </c>
      <c r="G37" s="625">
        <f>IF($E$4="","",IF(AND($I37&gt;=20,$D37=88,'4-1.参照シートー１'!$R37&gt;104000),($R37+$V37)*$G$12,0))</f>
        <v>30000</v>
      </c>
      <c r="H37" s="623">
        <f t="shared" si="10"/>
        <v>22</v>
      </c>
      <c r="I37" s="624">
        <f t="shared" si="11"/>
        <v>38</v>
      </c>
      <c r="J37" s="602">
        <f t="shared" si="2"/>
        <v>1981.4285714285713</v>
      </c>
      <c r="K37" s="601">
        <f t="shared" si="12"/>
        <v>165119.0476190476</v>
      </c>
      <c r="L37" s="602">
        <f t="shared" si="13"/>
        <v>195119.0476190476</v>
      </c>
      <c r="M37" s="617">
        <f t="shared" si="14"/>
        <v>197119.0476190476</v>
      </c>
      <c r="N37" s="604">
        <f t="shared" si="6"/>
        <v>2365428.5714285714</v>
      </c>
      <c r="O37" s="618">
        <f t="shared" si="7"/>
        <v>169619.0476190476</v>
      </c>
      <c r="P37" s="606">
        <f>IF($E$4="",0,IF($O37=0,0,VLOOKUP($O37,'3-1.標準報酬月額・保険料表'!$N$8:$O$57,2,TRUE)))</f>
        <v>170000</v>
      </c>
      <c r="Q37" s="619">
        <f t="shared" si="8"/>
        <v>199619.0476190476</v>
      </c>
      <c r="R37" s="620">
        <f>IF($E$4="",0,IF($Q37=0,0,VLOOKUP($Q37,'3-1.標準報酬月額・保険料表'!$N$8:$O$57,2,TRUE)))</f>
        <v>200000</v>
      </c>
      <c r="S37" s="605">
        <f t="shared" si="9"/>
        <v>199619.0476190476</v>
      </c>
      <c r="T37" s="609">
        <f>IF($E$4="",0,IF($S37=0,0,VLOOKUP($S37,'3-1.標準報酬月額・保険料表'!$N$8:$O$57,2,TRUE)))</f>
        <v>200000</v>
      </c>
      <c r="U37" s="621">
        <f t="shared" si="3"/>
        <v>0</v>
      </c>
      <c r="V37" s="611">
        <f t="shared" si="4"/>
        <v>0</v>
      </c>
      <c r="W37" s="612">
        <f t="shared" si="5"/>
        <v>165119.0476190476</v>
      </c>
    </row>
    <row r="38" spans="2:23" ht="21.95" customHeight="1" x14ac:dyDescent="0.15">
      <c r="B38" s="594">
        <v>24</v>
      </c>
      <c r="C38" s="613">
        <f t="shared" si="0"/>
        <v>1000</v>
      </c>
      <c r="D38" s="622">
        <f t="shared" si="1"/>
        <v>88</v>
      </c>
      <c r="E38" s="597">
        <f>IF($E$4="","",IF(AND($I38&gt;=20,$D38=88,'4-1.参照シートー１'!$R38&lt;=104000),($P38+$V38)*$G$12,0))</f>
        <v>0</v>
      </c>
      <c r="F38" s="640">
        <f>IF('4-1.参照シートー１'!$G38="","",'4-1.参照シートー１'!$G38)</f>
        <v>30000</v>
      </c>
      <c r="G38" s="625">
        <f>IF($E$4="","",IF(AND($I38&gt;=20,$D38=88,'4-1.参照シートー１'!$R38&gt;104000),($R38+$V38)*$G$12,0))</f>
        <v>30000</v>
      </c>
      <c r="H38" s="623">
        <f t="shared" si="10"/>
        <v>23</v>
      </c>
      <c r="I38" s="624">
        <f t="shared" si="11"/>
        <v>39</v>
      </c>
      <c r="J38" s="602">
        <f t="shared" si="2"/>
        <v>2033.5714285714287</v>
      </c>
      <c r="K38" s="601">
        <f t="shared" si="12"/>
        <v>169464.28571428571</v>
      </c>
      <c r="L38" s="602">
        <f t="shared" si="13"/>
        <v>199464.28571428571</v>
      </c>
      <c r="M38" s="617">
        <f t="shared" si="14"/>
        <v>201464.28571428571</v>
      </c>
      <c r="N38" s="604">
        <f t="shared" si="6"/>
        <v>2417571.4285714286</v>
      </c>
      <c r="O38" s="618">
        <f t="shared" si="7"/>
        <v>173964.28571428571</v>
      </c>
      <c r="P38" s="606">
        <f>IF($E$4="",0,IF($O38=0,0,VLOOKUP($O38,'3-1.標準報酬月額・保険料表'!$N$8:$O$57,2,TRUE)))</f>
        <v>170000</v>
      </c>
      <c r="Q38" s="619">
        <f t="shared" si="8"/>
        <v>203964.28571428571</v>
      </c>
      <c r="R38" s="620">
        <f>IF($E$4="",0,IF($Q38=0,0,VLOOKUP($Q38,'3-1.標準報酬月額・保険料表'!$N$8:$O$57,2,TRUE)))</f>
        <v>200000</v>
      </c>
      <c r="S38" s="605">
        <f t="shared" si="9"/>
        <v>203964.28571428571</v>
      </c>
      <c r="T38" s="609">
        <f>IF($E$4="",0,IF($S38=0,0,VLOOKUP($S38,'3-1.標準報酬月額・保険料表'!$N$8:$O$57,2,TRUE)))</f>
        <v>200000</v>
      </c>
      <c r="U38" s="621">
        <f t="shared" si="3"/>
        <v>0</v>
      </c>
      <c r="V38" s="611">
        <f t="shared" si="4"/>
        <v>0</v>
      </c>
      <c r="W38" s="612">
        <f t="shared" si="5"/>
        <v>169464.28571428571</v>
      </c>
    </row>
    <row r="39" spans="2:23" ht="21.95" customHeight="1" x14ac:dyDescent="0.15">
      <c r="B39" s="594">
        <v>25</v>
      </c>
      <c r="C39" s="613" t="str">
        <f t="shared" si="0"/>
        <v/>
      </c>
      <c r="D39" s="622" t="str">
        <f t="shared" si="1"/>
        <v/>
      </c>
      <c r="E39" s="597">
        <f>IF($E$4="","",IF(AND($I39&gt;=20,$D39=88,'4-1.参照シートー１'!$R39&lt;=104000),($P39+$V39)*$G$12,0))</f>
        <v>0</v>
      </c>
      <c r="F39" s="640">
        <f>IF('4-1.参照シートー１'!$G39="","",'4-1.参照シートー１'!$G39)</f>
        <v>0</v>
      </c>
      <c r="G39" s="625">
        <f>IF($E$4="","",IF(AND($I39&gt;=20,$D39=88,'4-1.参照シートー１'!$R39&gt;104000),($R39+$V39)*$G$12,0))</f>
        <v>0</v>
      </c>
      <c r="H39" s="623" t="str">
        <f t="shared" si="10"/>
        <v/>
      </c>
      <c r="I39" s="624" t="str">
        <f t="shared" si="11"/>
        <v/>
      </c>
      <c r="J39" s="602" t="str">
        <f t="shared" si="2"/>
        <v/>
      </c>
      <c r="K39" s="601">
        <f t="shared" si="12"/>
        <v>0</v>
      </c>
      <c r="L39" s="602">
        <f t="shared" si="13"/>
        <v>0</v>
      </c>
      <c r="M39" s="617">
        <f t="shared" si="14"/>
        <v>0</v>
      </c>
      <c r="N39" s="604">
        <f t="shared" si="6"/>
        <v>0</v>
      </c>
      <c r="O39" s="618">
        <f t="shared" si="7"/>
        <v>0</v>
      </c>
      <c r="P39" s="606">
        <f>IF($E$4="",0,IF($O39=0,0,VLOOKUP($O39,'3-1.標準報酬月額・保険料表'!$N$8:$O$57,2,TRUE)))</f>
        <v>0</v>
      </c>
      <c r="Q39" s="619">
        <f t="shared" si="8"/>
        <v>0</v>
      </c>
      <c r="R39" s="620">
        <f>IF($E$4="",0,IF($Q39=0,0,VLOOKUP($Q39,'3-1.標準報酬月額・保険料表'!$N$8:$O$57,2,TRUE)))</f>
        <v>0</v>
      </c>
      <c r="S39" s="605">
        <f t="shared" si="9"/>
        <v>0</v>
      </c>
      <c r="T39" s="609">
        <f>IF($E$4="",0,IF($S39=0,0,VLOOKUP($S39,'3-1.標準報酬月額・保険料表'!$N$8:$O$57,2,TRUE)))</f>
        <v>0</v>
      </c>
      <c r="U39" s="621">
        <f t="shared" si="3"/>
        <v>0</v>
      </c>
      <c r="V39" s="611">
        <f t="shared" si="4"/>
        <v>0</v>
      </c>
      <c r="W39" s="612">
        <f t="shared" si="5"/>
        <v>0</v>
      </c>
    </row>
    <row r="40" spans="2:23" ht="21.95" customHeight="1" x14ac:dyDescent="0.15">
      <c r="B40" s="594">
        <v>26</v>
      </c>
      <c r="C40" s="613" t="str">
        <f t="shared" si="0"/>
        <v/>
      </c>
      <c r="D40" s="622" t="str">
        <f t="shared" si="1"/>
        <v/>
      </c>
      <c r="E40" s="597">
        <f>IF($E$4="","",IF(AND($I40&gt;=20,$D40=88,'4-1.参照シートー１'!$R40&lt;=104000),($P40+$V40)*$G$12,0))</f>
        <v>0</v>
      </c>
      <c r="F40" s="640">
        <f>IF('4-1.参照シートー１'!$G40="","",'4-1.参照シートー１'!$G40)</f>
        <v>0</v>
      </c>
      <c r="G40" s="625">
        <f>IF($E$4="","",IF(AND($I40&gt;=20,$D40=88,'4-1.参照シートー１'!$R40&gt;104000),($R40+$V40)*$G$12,0))</f>
        <v>0</v>
      </c>
      <c r="H40" s="623" t="str">
        <f t="shared" si="10"/>
        <v/>
      </c>
      <c r="I40" s="624" t="str">
        <f t="shared" si="11"/>
        <v/>
      </c>
      <c r="J40" s="602" t="str">
        <f t="shared" si="2"/>
        <v/>
      </c>
      <c r="K40" s="601">
        <f t="shared" si="12"/>
        <v>0</v>
      </c>
      <c r="L40" s="602">
        <f t="shared" si="13"/>
        <v>0</v>
      </c>
      <c r="M40" s="617">
        <f t="shared" si="14"/>
        <v>0</v>
      </c>
      <c r="N40" s="604">
        <f t="shared" si="6"/>
        <v>0</v>
      </c>
      <c r="O40" s="618">
        <f t="shared" si="7"/>
        <v>0</v>
      </c>
      <c r="P40" s="606">
        <f>IF($E$4="",0,IF($O40=0,0,VLOOKUP($O40,'3-1.標準報酬月額・保険料表'!$N$8:$O$57,2,TRUE)))</f>
        <v>0</v>
      </c>
      <c r="Q40" s="619">
        <f t="shared" si="8"/>
        <v>0</v>
      </c>
      <c r="R40" s="620">
        <f>IF($E$4="",0,IF($Q40=0,0,VLOOKUP($Q40,'3-1.標準報酬月額・保険料表'!$N$8:$O$57,2,TRUE)))</f>
        <v>0</v>
      </c>
      <c r="S40" s="605">
        <f t="shared" si="9"/>
        <v>0</v>
      </c>
      <c r="T40" s="609">
        <f>IF($E$4="",0,IF($S40=0,0,VLOOKUP($S40,'3-1.標準報酬月額・保険料表'!$N$8:$O$57,2,TRUE)))</f>
        <v>0</v>
      </c>
      <c r="U40" s="621">
        <f t="shared" si="3"/>
        <v>0</v>
      </c>
      <c r="V40" s="611">
        <f t="shared" si="4"/>
        <v>0</v>
      </c>
      <c r="W40" s="612">
        <f t="shared" si="5"/>
        <v>0</v>
      </c>
    </row>
    <row r="41" spans="2:23" ht="21.95" customHeight="1" x14ac:dyDescent="0.15">
      <c r="B41" s="594">
        <v>27</v>
      </c>
      <c r="C41" s="613" t="str">
        <f t="shared" si="0"/>
        <v/>
      </c>
      <c r="D41" s="622" t="str">
        <f t="shared" si="1"/>
        <v/>
      </c>
      <c r="E41" s="597">
        <f>IF($E$4="","",IF(AND($I41&gt;=20,$D41=88,'4-1.参照シートー１'!$R41&lt;=104000),($P41+$V41)*$G$12,0))</f>
        <v>0</v>
      </c>
      <c r="F41" s="640">
        <f>IF('4-1.参照シートー１'!$G41="","",'4-1.参照シートー１'!$G41)</f>
        <v>0</v>
      </c>
      <c r="G41" s="625">
        <f>IF($E$4="","",IF(AND($I41&gt;=20,$D41=88,'4-1.参照シートー１'!$R41&gt;104000),($R41+$V41)*$G$12,0))</f>
        <v>0</v>
      </c>
      <c r="H41" s="623" t="str">
        <f t="shared" si="10"/>
        <v/>
      </c>
      <c r="I41" s="624" t="str">
        <f t="shared" si="11"/>
        <v/>
      </c>
      <c r="J41" s="602" t="str">
        <f t="shared" si="2"/>
        <v/>
      </c>
      <c r="K41" s="601">
        <f t="shared" si="12"/>
        <v>0</v>
      </c>
      <c r="L41" s="602">
        <f t="shared" si="13"/>
        <v>0</v>
      </c>
      <c r="M41" s="617">
        <f t="shared" si="14"/>
        <v>0</v>
      </c>
      <c r="N41" s="604">
        <f t="shared" si="6"/>
        <v>0</v>
      </c>
      <c r="O41" s="618">
        <f t="shared" si="7"/>
        <v>0</v>
      </c>
      <c r="P41" s="606">
        <f>IF($E$4="",0,IF($O41=0,0,VLOOKUP($O41,'3-1.標準報酬月額・保険料表'!$N$8:$O$57,2,TRUE)))</f>
        <v>0</v>
      </c>
      <c r="Q41" s="619">
        <f t="shared" si="8"/>
        <v>0</v>
      </c>
      <c r="R41" s="620">
        <f>IF($E$4="",0,IF($Q41=0,0,VLOOKUP($Q41,'3-1.標準報酬月額・保険料表'!$N$8:$O$57,2,TRUE)))</f>
        <v>0</v>
      </c>
      <c r="S41" s="605">
        <f t="shared" si="9"/>
        <v>0</v>
      </c>
      <c r="T41" s="609">
        <f>IF($E$4="",0,IF($S41=0,0,VLOOKUP($S41,'3-1.標準報酬月額・保険料表'!$N$8:$O$57,2,TRUE)))</f>
        <v>0</v>
      </c>
      <c r="U41" s="621">
        <f t="shared" si="3"/>
        <v>0</v>
      </c>
      <c r="V41" s="611">
        <f t="shared" si="4"/>
        <v>0</v>
      </c>
      <c r="W41" s="612">
        <f t="shared" si="5"/>
        <v>0</v>
      </c>
    </row>
    <row r="42" spans="2:23" ht="21.95" customHeight="1" x14ac:dyDescent="0.15">
      <c r="B42" s="594">
        <v>28</v>
      </c>
      <c r="C42" s="613" t="str">
        <f t="shared" si="0"/>
        <v/>
      </c>
      <c r="D42" s="622" t="str">
        <f t="shared" si="1"/>
        <v/>
      </c>
      <c r="E42" s="597">
        <f>IF($E$4="","",IF(AND($I42&gt;=20,$D42=88,'4-1.参照シートー１'!$R42&lt;=104000),($P42+$V42)*$G$12,0))</f>
        <v>0</v>
      </c>
      <c r="F42" s="640">
        <f>IF('4-1.参照シートー１'!$G42="","",'4-1.参照シートー１'!$G42)</f>
        <v>0</v>
      </c>
      <c r="G42" s="625">
        <f>IF($E$4="","",IF(AND($I42&gt;=20,$D42=88,'4-1.参照シートー１'!$R42&gt;104000),($R42+$V42)*$G$12,0))</f>
        <v>0</v>
      </c>
      <c r="H42" s="623" t="str">
        <f t="shared" si="10"/>
        <v/>
      </c>
      <c r="I42" s="624" t="str">
        <f t="shared" si="11"/>
        <v/>
      </c>
      <c r="J42" s="602" t="str">
        <f t="shared" si="2"/>
        <v/>
      </c>
      <c r="K42" s="601">
        <f t="shared" si="12"/>
        <v>0</v>
      </c>
      <c r="L42" s="602">
        <f t="shared" si="13"/>
        <v>0</v>
      </c>
      <c r="M42" s="617">
        <f t="shared" si="14"/>
        <v>0</v>
      </c>
      <c r="N42" s="604">
        <f t="shared" si="6"/>
        <v>0</v>
      </c>
      <c r="O42" s="618">
        <f t="shared" si="7"/>
        <v>0</v>
      </c>
      <c r="P42" s="606">
        <f>IF($E$4="",0,IF($O42=0,0,VLOOKUP($O42,'3-1.標準報酬月額・保険料表'!$N$8:$O$57,2,TRUE)))</f>
        <v>0</v>
      </c>
      <c r="Q42" s="619">
        <f t="shared" si="8"/>
        <v>0</v>
      </c>
      <c r="R42" s="620">
        <f>IF($E$4="",0,IF($Q42=0,0,VLOOKUP($Q42,'3-1.標準報酬月額・保険料表'!$N$8:$O$57,2,TRUE)))</f>
        <v>0</v>
      </c>
      <c r="S42" s="605">
        <f t="shared" si="9"/>
        <v>0</v>
      </c>
      <c r="T42" s="609">
        <f>IF($E$4="",0,IF($S42=0,0,VLOOKUP($S42,'3-1.標準報酬月額・保険料表'!$N$8:$O$57,2,TRUE)))</f>
        <v>0</v>
      </c>
      <c r="U42" s="621">
        <f t="shared" si="3"/>
        <v>0</v>
      </c>
      <c r="V42" s="611">
        <f t="shared" si="4"/>
        <v>0</v>
      </c>
      <c r="W42" s="612">
        <f t="shared" si="5"/>
        <v>0</v>
      </c>
    </row>
    <row r="43" spans="2:23" ht="21.95" customHeight="1" x14ac:dyDescent="0.15">
      <c r="B43" s="594">
        <v>29</v>
      </c>
      <c r="C43" s="613" t="str">
        <f t="shared" si="0"/>
        <v/>
      </c>
      <c r="D43" s="622" t="str">
        <f t="shared" si="1"/>
        <v/>
      </c>
      <c r="E43" s="597">
        <f>IF($E$4="","",IF(AND($I43&gt;=20,$D43=88,'4-1.参照シートー１'!$R43&lt;=104000),($P43+$V43)*$G$12,0))</f>
        <v>0</v>
      </c>
      <c r="F43" s="640">
        <f>IF('4-1.参照シートー１'!$G43="","",'4-1.参照シートー１'!$G43)</f>
        <v>0</v>
      </c>
      <c r="G43" s="625">
        <f>IF($E$4="","",IF(AND($I43&gt;=20,$D43=88,'4-1.参照シートー１'!$R43&gt;104000),($R43+$V43)*$G$12,0))</f>
        <v>0</v>
      </c>
      <c r="H43" s="623" t="str">
        <f t="shared" si="10"/>
        <v/>
      </c>
      <c r="I43" s="624" t="str">
        <f t="shared" si="11"/>
        <v/>
      </c>
      <c r="J43" s="602" t="str">
        <f t="shared" si="2"/>
        <v/>
      </c>
      <c r="K43" s="601">
        <f t="shared" si="12"/>
        <v>0</v>
      </c>
      <c r="L43" s="602">
        <f t="shared" si="13"/>
        <v>0</v>
      </c>
      <c r="M43" s="617">
        <f t="shared" si="14"/>
        <v>0</v>
      </c>
      <c r="N43" s="604">
        <f t="shared" si="6"/>
        <v>0</v>
      </c>
      <c r="O43" s="618">
        <f t="shared" si="7"/>
        <v>0</v>
      </c>
      <c r="P43" s="606">
        <f>IF($E$4="",0,IF($O43=0,0,VLOOKUP($O43,'3-1.標準報酬月額・保険料表'!$N$8:$O$57,2,TRUE)))</f>
        <v>0</v>
      </c>
      <c r="Q43" s="619">
        <f t="shared" si="8"/>
        <v>0</v>
      </c>
      <c r="R43" s="620">
        <f>IF($E$4="",0,IF($Q43=0,0,VLOOKUP($Q43,'3-1.標準報酬月額・保険料表'!$N$8:$O$57,2,TRUE)))</f>
        <v>0</v>
      </c>
      <c r="S43" s="605">
        <f t="shared" si="9"/>
        <v>0</v>
      </c>
      <c r="T43" s="609">
        <f>IF($E$4="",0,IF($S43=0,0,VLOOKUP($S43,'3-1.標準報酬月額・保険料表'!$N$8:$O$57,2,TRUE)))</f>
        <v>0</v>
      </c>
      <c r="U43" s="621">
        <f t="shared" si="3"/>
        <v>0</v>
      </c>
      <c r="V43" s="611">
        <f t="shared" si="4"/>
        <v>0</v>
      </c>
      <c r="W43" s="612">
        <f t="shared" si="5"/>
        <v>0</v>
      </c>
    </row>
    <row r="44" spans="2:23" ht="21.95" customHeight="1" thickBot="1" x14ac:dyDescent="0.2">
      <c r="B44" s="594">
        <v>30</v>
      </c>
      <c r="C44" s="626" t="str">
        <f t="shared" si="0"/>
        <v/>
      </c>
      <c r="D44" s="627" t="str">
        <f t="shared" si="1"/>
        <v/>
      </c>
      <c r="E44" s="597">
        <f>IF($E$4="","",IF(AND($I44&gt;=20,$D44=88,'4-1.参照シートー１'!$R44&lt;=104000),($P44+$V44)*$G$12,0))</f>
        <v>0</v>
      </c>
      <c r="F44" s="640">
        <f>IF('4-1.参照シートー１'!$G44="","",'4-1.参照シートー１'!$G44)</f>
        <v>0</v>
      </c>
      <c r="G44" s="625">
        <f>IF($E$4="","",IF(AND($I44&gt;=20,$D44=88,'4-1.参照シートー１'!$R44&gt;104000),($R44+$V44)*$G$12,0))</f>
        <v>0</v>
      </c>
      <c r="H44" s="623" t="str">
        <f t="shared" si="10"/>
        <v/>
      </c>
      <c r="I44" s="624" t="str">
        <f t="shared" si="11"/>
        <v/>
      </c>
      <c r="J44" s="602" t="str">
        <f t="shared" si="2"/>
        <v/>
      </c>
      <c r="K44" s="601">
        <f t="shared" si="12"/>
        <v>0</v>
      </c>
      <c r="L44" s="602">
        <f t="shared" si="13"/>
        <v>0</v>
      </c>
      <c r="M44" s="628">
        <f t="shared" si="14"/>
        <v>0</v>
      </c>
      <c r="N44" s="604">
        <f t="shared" si="6"/>
        <v>0</v>
      </c>
      <c r="O44" s="629">
        <f t="shared" si="7"/>
        <v>0</v>
      </c>
      <c r="P44" s="630">
        <f>IF($E$4="",0,IF($O44=0,0,VLOOKUP($O44,'3-1.標準報酬月額・保険料表'!$N$8:$O$57,2,TRUE)))</f>
        <v>0</v>
      </c>
      <c r="Q44" s="631">
        <f t="shared" si="8"/>
        <v>0</v>
      </c>
      <c r="R44" s="632">
        <f>IF($E$4="",0,IF($Q44=0,0,VLOOKUP($Q44,'3-1.標準報酬月額・保険料表'!$N$8:$O$57,2,TRUE)))</f>
        <v>0</v>
      </c>
      <c r="S44" s="633">
        <f t="shared" si="9"/>
        <v>0</v>
      </c>
      <c r="T44" s="634">
        <f>IF($E$4="",0,IF($S44=0,0,VLOOKUP($S44,'3-1.標準報酬月額・保険料表'!$N$8:$O$57,2,TRUE)))</f>
        <v>0</v>
      </c>
      <c r="U44" s="621">
        <f t="shared" si="3"/>
        <v>0</v>
      </c>
      <c r="V44" s="635">
        <f t="shared" si="4"/>
        <v>0</v>
      </c>
      <c r="W44" s="612">
        <f t="shared" si="5"/>
        <v>0</v>
      </c>
    </row>
  </sheetData>
  <sheetProtection algorithmName="SHA-512" hashValue="7PZtuBjhry2u5+VdZGACqxUC1+cJB8vniA5IPvzBOLV9hj2HBOl6JutjQN0QH9GuSQbFf3SembsDT5G8+QeYpw==" saltValue="x88n8G0sb7b6QLKDNqL2JQ==" spinCount="100000" sheet="1" objects="1" scenarios="1"/>
  <mergeCells count="14">
    <mergeCell ref="Q13:R13"/>
    <mergeCell ref="S13:T13"/>
    <mergeCell ref="G10:H11"/>
    <mergeCell ref="S10:T10"/>
    <mergeCell ref="S11:T11"/>
    <mergeCell ref="G12:H12"/>
    <mergeCell ref="C5:E5"/>
    <mergeCell ref="M8:N8"/>
    <mergeCell ref="S8:U8"/>
    <mergeCell ref="S9:T9"/>
    <mergeCell ref="M4:M5"/>
    <mergeCell ref="N4:N5"/>
    <mergeCell ref="O4:O5"/>
    <mergeCell ref="P4:P5"/>
  </mergeCells>
  <phoneticPr fontId="3"/>
  <conditionalFormatting sqref="K15:K44">
    <cfRule type="expression" dxfId="5" priority="1">
      <formula>$K15&lt;88000</formula>
    </cfRule>
  </conditionalFormatting>
  <conditionalFormatting sqref="N15:N44">
    <cfRule type="expression" dxfId="4" priority="2">
      <formula>N15&gt;=$M$13</formula>
    </cfRule>
    <cfRule type="expression" dxfId="3" priority="3">
      <formula>N15&gt;=M$12</formula>
    </cfRule>
    <cfRule type="expression" dxfId="2" priority="4">
      <formula>N15&gt;$M$11</formula>
    </cfRule>
    <cfRule type="expression" dxfId="1" priority="5">
      <formula>N15&gt;$M$10</formula>
    </cfRule>
    <cfRule type="expression" dxfId="0" priority="6">
      <formula>N15&lt;=$M$9</formula>
    </cfRule>
  </conditionalFormatting>
  <pageMargins left="0.59055118110236227" right="0.59055118110236227" top="0.78740157480314965" bottom="0.59055118110236227" header="0.51181102362204722" footer="0.51181102362204722"/>
  <pageSetup paperSize="9" scale="70" pageOrder="overThenDown" orientation="landscape" r:id="rId1"/>
  <headerFooter alignWithMargins="0">
    <oddFooter>&amp;C&amp;P</oddFooter>
  </headerFooter>
  <rowBreaks count="1" manualBreakCount="1">
    <brk id="29" max="44"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FFFF"/>
  </sheetPr>
  <dimension ref="B1:O59"/>
  <sheetViews>
    <sheetView showGridLines="0" zoomScaleNormal="100" workbookViewId="0">
      <selection activeCell="S16" sqref="S16"/>
    </sheetView>
  </sheetViews>
  <sheetFormatPr defaultRowHeight="13.5" x14ac:dyDescent="0.15"/>
  <cols>
    <col min="1" max="1" width="2.375" customWidth="1"/>
    <col min="2" max="3" width="2.875" customWidth="1"/>
    <col min="4" max="4" width="10.875" customWidth="1"/>
    <col min="5" max="5" width="10.625" customWidth="1"/>
    <col min="6" max="6" width="4.375" customWidth="1"/>
    <col min="7" max="7" width="10.625" customWidth="1"/>
    <col min="8" max="8" width="4.375" customWidth="1"/>
    <col min="9" max="12" width="11.25" customWidth="1"/>
    <col min="13" max="13" width="2.75" customWidth="1"/>
    <col min="14" max="14" width="12.125" style="16" customWidth="1"/>
    <col min="15" max="15" width="14.25" style="16" customWidth="1"/>
  </cols>
  <sheetData>
    <row r="1" spans="2:15" s="15" customFormat="1" ht="28.5" customHeight="1" x14ac:dyDescent="0.15">
      <c r="D1" s="15">
        <v>1</v>
      </c>
      <c r="E1" s="15">
        <v>2</v>
      </c>
      <c r="F1" s="15">
        <v>3</v>
      </c>
      <c r="G1" s="15">
        <v>4</v>
      </c>
      <c r="H1" s="15">
        <v>5</v>
      </c>
      <c r="I1" s="15">
        <v>6</v>
      </c>
      <c r="J1" s="15">
        <v>7</v>
      </c>
      <c r="K1" s="15">
        <v>8</v>
      </c>
      <c r="L1" s="15">
        <v>9</v>
      </c>
      <c r="N1" s="21"/>
      <c r="O1" s="21"/>
    </row>
    <row r="2" spans="2:15" ht="14.25" thickBot="1" x14ac:dyDescent="0.2">
      <c r="D2" s="19" t="s">
        <v>25</v>
      </c>
      <c r="I2" t="str">
        <f>'2-2.保険料・地方税等入力画面'!J4</f>
        <v>（令和５年３月１日現在）</v>
      </c>
      <c r="L2" s="20"/>
    </row>
    <row r="3" spans="2:15" ht="18.75" x14ac:dyDescent="0.2">
      <c r="B3" s="17" t="s">
        <v>23</v>
      </c>
      <c r="E3" s="1"/>
      <c r="I3" s="24" t="s">
        <v>21</v>
      </c>
      <c r="J3" s="25" t="s">
        <v>21</v>
      </c>
      <c r="K3" s="25" t="s">
        <v>21</v>
      </c>
      <c r="L3" s="26" t="s">
        <v>21</v>
      </c>
    </row>
    <row r="4" spans="2:15" ht="19.5" thickBot="1" x14ac:dyDescent="0.25">
      <c r="E4" s="1"/>
      <c r="I4" s="27">
        <f>'2-2.保険料・地方税等入力画面'!G7</f>
        <v>0.10290000000000001</v>
      </c>
      <c r="J4" s="27">
        <f>'2-2.保険料・地方税等入力画面'!H7</f>
        <v>0.1211</v>
      </c>
      <c r="K4" s="27">
        <f>'2-2.保険料・地方税等入力画面'!I7</f>
        <v>1.8199999999999994E-2</v>
      </c>
      <c r="L4" s="27">
        <f>'2-2.保険料・地方税等入力画面'!J7</f>
        <v>0.183</v>
      </c>
    </row>
    <row r="5" spans="2:15" ht="19.5" customHeight="1" x14ac:dyDescent="0.15">
      <c r="B5" s="1093" t="s">
        <v>1</v>
      </c>
      <c r="C5" s="1094"/>
      <c r="D5" s="1095"/>
      <c r="E5" s="18"/>
      <c r="F5" s="18"/>
      <c r="G5" s="18"/>
      <c r="H5" s="18"/>
      <c r="I5" s="1096" t="s">
        <v>24</v>
      </c>
      <c r="J5" s="1094"/>
      <c r="K5" s="1094"/>
      <c r="L5" s="1097"/>
      <c r="N5" s="22"/>
      <c r="O5" s="22"/>
    </row>
    <row r="6" spans="2:15" ht="17.100000000000001" customHeight="1" thickBot="1" x14ac:dyDescent="0.2">
      <c r="B6" s="8" t="s">
        <v>2</v>
      </c>
      <c r="C6" s="9"/>
      <c r="D6" s="10" t="s">
        <v>3</v>
      </c>
      <c r="E6" s="1098" t="s">
        <v>4</v>
      </c>
      <c r="F6" s="1099"/>
      <c r="G6" s="1099"/>
      <c r="H6" s="1099"/>
      <c r="I6" s="11" t="s">
        <v>5</v>
      </c>
      <c r="J6" s="11" t="s">
        <v>5</v>
      </c>
      <c r="K6" s="10" t="s">
        <v>6</v>
      </c>
      <c r="L6" s="12" t="s">
        <v>7</v>
      </c>
      <c r="N6" s="23" t="s">
        <v>30</v>
      </c>
    </row>
    <row r="7" spans="2:15" ht="17.100000000000001" customHeight="1" thickBot="1" x14ac:dyDescent="0.2">
      <c r="B7" s="44" t="s">
        <v>8</v>
      </c>
      <c r="C7" s="10" t="s">
        <v>9</v>
      </c>
      <c r="D7" s="13"/>
      <c r="E7" s="14"/>
      <c r="F7" s="14"/>
      <c r="G7" s="14"/>
      <c r="H7" s="14"/>
      <c r="I7" s="9" t="s">
        <v>10</v>
      </c>
      <c r="J7" s="9" t="s">
        <v>11</v>
      </c>
      <c r="K7" s="9" t="s">
        <v>12</v>
      </c>
      <c r="L7" s="30" t="s">
        <v>13</v>
      </c>
      <c r="N7" s="37" t="s">
        <v>26</v>
      </c>
      <c r="O7" s="31" t="s">
        <v>0</v>
      </c>
    </row>
    <row r="8" spans="2:15" ht="17.100000000000001" customHeight="1" x14ac:dyDescent="0.15">
      <c r="B8" s="45">
        <v>1</v>
      </c>
      <c r="C8" s="45"/>
      <c r="D8" s="43">
        <v>58000</v>
      </c>
      <c r="E8" s="2"/>
      <c r="F8" s="3" t="s">
        <v>14</v>
      </c>
      <c r="G8" s="4">
        <v>63000</v>
      </c>
      <c r="H8" s="5" t="s">
        <v>15</v>
      </c>
      <c r="I8" s="28">
        <f>$D8*I$4/2</f>
        <v>2984.1000000000004</v>
      </c>
      <c r="J8" s="28">
        <f t="shared" ref="J8:L23" si="0">$D8*J$4/2</f>
        <v>3511.9</v>
      </c>
      <c r="K8" s="28">
        <f>$D8*K$4/2</f>
        <v>527.79999999999984</v>
      </c>
      <c r="L8" s="29">
        <f>$D8*L$4/2</f>
        <v>5307</v>
      </c>
      <c r="N8" s="32">
        <v>0</v>
      </c>
      <c r="O8" s="33">
        <v>58000</v>
      </c>
    </row>
    <row r="9" spans="2:15" ht="17.100000000000001" customHeight="1" x14ac:dyDescent="0.15">
      <c r="B9" s="46">
        <v>2</v>
      </c>
      <c r="C9" s="46"/>
      <c r="D9" s="43">
        <v>68000</v>
      </c>
      <c r="E9" s="2">
        <v>63000</v>
      </c>
      <c r="F9" s="3" t="s">
        <v>14</v>
      </c>
      <c r="G9" s="4">
        <v>73000</v>
      </c>
      <c r="H9" s="5" t="s">
        <v>15</v>
      </c>
      <c r="I9" s="28">
        <f t="shared" ref="I9:L47" si="1">$D9*I$4/2</f>
        <v>3498.6000000000004</v>
      </c>
      <c r="J9" s="28">
        <f t="shared" si="0"/>
        <v>4117.3999999999996</v>
      </c>
      <c r="K9" s="28">
        <f t="shared" si="0"/>
        <v>618.79999999999984</v>
      </c>
      <c r="L9" s="29">
        <f t="shared" si="0"/>
        <v>6222</v>
      </c>
      <c r="N9" s="32">
        <v>63000</v>
      </c>
      <c r="O9" s="33">
        <v>68000</v>
      </c>
    </row>
    <row r="10" spans="2:15" ht="17.100000000000001" customHeight="1" x14ac:dyDescent="0.15">
      <c r="B10" s="46">
        <v>3</v>
      </c>
      <c r="C10" s="46"/>
      <c r="D10" s="43">
        <v>78000</v>
      </c>
      <c r="E10" s="2">
        <v>73000</v>
      </c>
      <c r="F10" s="3" t="s">
        <v>14</v>
      </c>
      <c r="G10" s="4">
        <v>83000</v>
      </c>
      <c r="H10" s="5" t="s">
        <v>15</v>
      </c>
      <c r="I10" s="28">
        <f t="shared" si="1"/>
        <v>4013.1000000000004</v>
      </c>
      <c r="J10" s="28">
        <f t="shared" si="0"/>
        <v>4722.8999999999996</v>
      </c>
      <c r="K10" s="28">
        <f t="shared" si="0"/>
        <v>709.79999999999973</v>
      </c>
      <c r="L10" s="29">
        <f t="shared" si="0"/>
        <v>7137</v>
      </c>
      <c r="N10" s="32">
        <v>73000</v>
      </c>
      <c r="O10" s="33">
        <v>78000</v>
      </c>
    </row>
    <row r="11" spans="2:15" ht="17.100000000000001" customHeight="1" x14ac:dyDescent="0.15">
      <c r="B11" s="46">
        <v>4</v>
      </c>
      <c r="C11" s="46">
        <v>1</v>
      </c>
      <c r="D11" s="43">
        <v>88000</v>
      </c>
      <c r="E11" s="2">
        <v>83000</v>
      </c>
      <c r="F11" s="3" t="s">
        <v>14</v>
      </c>
      <c r="G11" s="4">
        <f>E12</f>
        <v>93000</v>
      </c>
      <c r="H11" s="5" t="s">
        <v>15</v>
      </c>
      <c r="I11" s="28">
        <f t="shared" si="1"/>
        <v>4527.6000000000004</v>
      </c>
      <c r="J11" s="28">
        <f t="shared" si="0"/>
        <v>5328.4</v>
      </c>
      <c r="K11" s="28">
        <f t="shared" si="0"/>
        <v>800.79999999999973</v>
      </c>
      <c r="L11" s="29">
        <f t="shared" si="0"/>
        <v>8052</v>
      </c>
      <c r="N11" s="32">
        <v>83000</v>
      </c>
      <c r="O11" s="33">
        <v>88000</v>
      </c>
    </row>
    <row r="12" spans="2:15" ht="17.100000000000001" customHeight="1" x14ac:dyDescent="0.15">
      <c r="B12" s="46">
        <v>5</v>
      </c>
      <c r="C12" s="46">
        <v>2</v>
      </c>
      <c r="D12" s="43">
        <v>98000</v>
      </c>
      <c r="E12" s="2">
        <v>93000</v>
      </c>
      <c r="F12" s="3" t="s">
        <v>14</v>
      </c>
      <c r="G12" s="4">
        <f t="shared" ref="G12:G57" si="2">E13</f>
        <v>101000</v>
      </c>
      <c r="H12" s="5" t="s">
        <v>15</v>
      </c>
      <c r="I12" s="28">
        <f t="shared" si="1"/>
        <v>5042.1000000000004</v>
      </c>
      <c r="J12" s="28">
        <f t="shared" si="0"/>
        <v>5933.9</v>
      </c>
      <c r="K12" s="28">
        <f t="shared" si="0"/>
        <v>891.79999999999973</v>
      </c>
      <c r="L12" s="29">
        <f t="shared" si="0"/>
        <v>8967</v>
      </c>
      <c r="N12" s="32">
        <v>93000</v>
      </c>
      <c r="O12" s="33">
        <v>98000</v>
      </c>
    </row>
    <row r="13" spans="2:15" ht="17.100000000000001" customHeight="1" x14ac:dyDescent="0.15">
      <c r="B13" s="46">
        <v>6</v>
      </c>
      <c r="C13" s="46">
        <v>3</v>
      </c>
      <c r="D13" s="43">
        <v>104000</v>
      </c>
      <c r="E13" s="2">
        <v>101000</v>
      </c>
      <c r="F13" s="3" t="s">
        <v>14</v>
      </c>
      <c r="G13" s="4">
        <f t="shared" si="2"/>
        <v>107000</v>
      </c>
      <c r="H13" s="5" t="s">
        <v>15</v>
      </c>
      <c r="I13" s="28">
        <f t="shared" si="1"/>
        <v>5350.8</v>
      </c>
      <c r="J13" s="28">
        <f t="shared" si="0"/>
        <v>6297.2</v>
      </c>
      <c r="K13" s="28">
        <f t="shared" si="0"/>
        <v>946.39999999999964</v>
      </c>
      <c r="L13" s="29">
        <f t="shared" si="0"/>
        <v>9516</v>
      </c>
      <c r="N13" s="32">
        <v>101000</v>
      </c>
      <c r="O13" s="33">
        <v>104000</v>
      </c>
    </row>
    <row r="14" spans="2:15" ht="17.100000000000001" customHeight="1" x14ac:dyDescent="0.15">
      <c r="B14" s="46">
        <v>7</v>
      </c>
      <c r="C14" s="46">
        <v>4</v>
      </c>
      <c r="D14" s="43">
        <v>110000</v>
      </c>
      <c r="E14" s="2">
        <v>107000</v>
      </c>
      <c r="F14" s="3" t="s">
        <v>14</v>
      </c>
      <c r="G14" s="4">
        <f t="shared" si="2"/>
        <v>114000</v>
      </c>
      <c r="H14" s="5" t="s">
        <v>15</v>
      </c>
      <c r="I14" s="28">
        <f t="shared" si="1"/>
        <v>5659.5</v>
      </c>
      <c r="J14" s="28">
        <f t="shared" si="0"/>
        <v>6660.5</v>
      </c>
      <c r="K14" s="28">
        <f t="shared" si="0"/>
        <v>1000.9999999999997</v>
      </c>
      <c r="L14" s="29">
        <f t="shared" si="0"/>
        <v>10065</v>
      </c>
      <c r="N14" s="32">
        <v>107000</v>
      </c>
      <c r="O14" s="33">
        <v>110000</v>
      </c>
    </row>
    <row r="15" spans="2:15" ht="17.100000000000001" customHeight="1" x14ac:dyDescent="0.15">
      <c r="B15" s="46">
        <v>8</v>
      </c>
      <c r="C15" s="46">
        <v>5</v>
      </c>
      <c r="D15" s="43">
        <v>118000</v>
      </c>
      <c r="E15" s="2">
        <v>114000</v>
      </c>
      <c r="F15" s="3" t="s">
        <v>14</v>
      </c>
      <c r="G15" s="4">
        <f t="shared" si="2"/>
        <v>122000</v>
      </c>
      <c r="H15" s="5" t="s">
        <v>15</v>
      </c>
      <c r="I15" s="28">
        <f t="shared" si="1"/>
        <v>6071.1</v>
      </c>
      <c r="J15" s="28">
        <f t="shared" si="0"/>
        <v>7144.9</v>
      </c>
      <c r="K15" s="28">
        <f t="shared" si="0"/>
        <v>1073.7999999999997</v>
      </c>
      <c r="L15" s="29">
        <f t="shared" si="0"/>
        <v>10797</v>
      </c>
      <c r="N15" s="32">
        <v>114000</v>
      </c>
      <c r="O15" s="33">
        <v>118000</v>
      </c>
    </row>
    <row r="16" spans="2:15" ht="17.100000000000001" customHeight="1" x14ac:dyDescent="0.15">
      <c r="B16" s="46">
        <v>9</v>
      </c>
      <c r="C16" s="46">
        <v>6</v>
      </c>
      <c r="D16" s="43">
        <v>126000</v>
      </c>
      <c r="E16" s="2">
        <v>122000</v>
      </c>
      <c r="F16" s="3" t="s">
        <v>14</v>
      </c>
      <c r="G16" s="4">
        <f t="shared" si="2"/>
        <v>130000</v>
      </c>
      <c r="H16" s="5" t="s">
        <v>15</v>
      </c>
      <c r="I16" s="28">
        <f t="shared" si="1"/>
        <v>6482.7000000000007</v>
      </c>
      <c r="J16" s="28">
        <f t="shared" si="0"/>
        <v>7629.3</v>
      </c>
      <c r="K16" s="28">
        <f t="shared" si="0"/>
        <v>1146.5999999999997</v>
      </c>
      <c r="L16" s="29">
        <f t="shared" si="0"/>
        <v>11529</v>
      </c>
      <c r="N16" s="32">
        <v>122000</v>
      </c>
      <c r="O16" s="33">
        <v>126000</v>
      </c>
    </row>
    <row r="17" spans="2:15" ht="17.100000000000001" customHeight="1" x14ac:dyDescent="0.15">
      <c r="B17" s="46">
        <v>10</v>
      </c>
      <c r="C17" s="46">
        <v>7</v>
      </c>
      <c r="D17" s="43">
        <v>134000</v>
      </c>
      <c r="E17" s="2">
        <v>130000</v>
      </c>
      <c r="F17" s="3" t="s">
        <v>14</v>
      </c>
      <c r="G17" s="4">
        <f t="shared" si="2"/>
        <v>138000</v>
      </c>
      <c r="H17" s="5" t="s">
        <v>15</v>
      </c>
      <c r="I17" s="28">
        <f t="shared" si="1"/>
        <v>6894.3</v>
      </c>
      <c r="J17" s="28">
        <f t="shared" si="0"/>
        <v>8113.7</v>
      </c>
      <c r="K17" s="28">
        <f t="shared" si="0"/>
        <v>1219.3999999999996</v>
      </c>
      <c r="L17" s="29">
        <f t="shared" si="0"/>
        <v>12261</v>
      </c>
      <c r="N17" s="32">
        <v>130000</v>
      </c>
      <c r="O17" s="33">
        <v>134000</v>
      </c>
    </row>
    <row r="18" spans="2:15" ht="17.100000000000001" customHeight="1" x14ac:dyDescent="0.15">
      <c r="B18" s="46">
        <v>11</v>
      </c>
      <c r="C18" s="46">
        <v>8</v>
      </c>
      <c r="D18" s="43">
        <v>142000</v>
      </c>
      <c r="E18" s="2">
        <v>138000</v>
      </c>
      <c r="F18" s="3" t="s">
        <v>14</v>
      </c>
      <c r="G18" s="4">
        <f t="shared" si="2"/>
        <v>146000</v>
      </c>
      <c r="H18" s="5" t="s">
        <v>15</v>
      </c>
      <c r="I18" s="28">
        <f t="shared" si="1"/>
        <v>7305.9000000000005</v>
      </c>
      <c r="J18" s="28">
        <f t="shared" si="0"/>
        <v>8598.1</v>
      </c>
      <c r="K18" s="28">
        <f t="shared" si="0"/>
        <v>1292.1999999999996</v>
      </c>
      <c r="L18" s="29">
        <f t="shared" si="0"/>
        <v>12993</v>
      </c>
      <c r="N18" s="32">
        <v>138000</v>
      </c>
      <c r="O18" s="33">
        <v>142000</v>
      </c>
    </row>
    <row r="19" spans="2:15" ht="17.100000000000001" customHeight="1" x14ac:dyDescent="0.15">
      <c r="B19" s="46">
        <v>12</v>
      </c>
      <c r="C19" s="46">
        <v>9</v>
      </c>
      <c r="D19" s="43">
        <v>150000</v>
      </c>
      <c r="E19" s="2">
        <v>146000</v>
      </c>
      <c r="F19" s="3" t="s">
        <v>14</v>
      </c>
      <c r="G19" s="4">
        <f t="shared" si="2"/>
        <v>155000</v>
      </c>
      <c r="H19" s="5" t="s">
        <v>15</v>
      </c>
      <c r="I19" s="28">
        <f t="shared" si="1"/>
        <v>7717.5</v>
      </c>
      <c r="J19" s="28">
        <f t="shared" si="0"/>
        <v>9082.5</v>
      </c>
      <c r="K19" s="28">
        <f t="shared" si="0"/>
        <v>1364.9999999999995</v>
      </c>
      <c r="L19" s="29">
        <f t="shared" si="0"/>
        <v>13725</v>
      </c>
      <c r="N19" s="32">
        <v>146000</v>
      </c>
      <c r="O19" s="33">
        <v>150000</v>
      </c>
    </row>
    <row r="20" spans="2:15" ht="17.100000000000001" customHeight="1" x14ac:dyDescent="0.15">
      <c r="B20" s="46">
        <v>13</v>
      </c>
      <c r="C20" s="46">
        <v>10</v>
      </c>
      <c r="D20" s="43">
        <v>160000</v>
      </c>
      <c r="E20" s="2">
        <v>155000</v>
      </c>
      <c r="F20" s="3" t="s">
        <v>14</v>
      </c>
      <c r="G20" s="4">
        <f t="shared" si="2"/>
        <v>165000</v>
      </c>
      <c r="H20" s="5" t="s">
        <v>15</v>
      </c>
      <c r="I20" s="28">
        <f t="shared" si="1"/>
        <v>8232</v>
      </c>
      <c r="J20" s="28">
        <f t="shared" si="0"/>
        <v>9688</v>
      </c>
      <c r="K20" s="28">
        <f t="shared" si="0"/>
        <v>1455.9999999999995</v>
      </c>
      <c r="L20" s="29">
        <f t="shared" si="0"/>
        <v>14640</v>
      </c>
      <c r="N20" s="32">
        <v>155000</v>
      </c>
      <c r="O20" s="33">
        <v>160000</v>
      </c>
    </row>
    <row r="21" spans="2:15" ht="17.100000000000001" customHeight="1" x14ac:dyDescent="0.15">
      <c r="B21" s="46">
        <v>14</v>
      </c>
      <c r="C21" s="46">
        <v>11</v>
      </c>
      <c r="D21" s="43">
        <v>170000</v>
      </c>
      <c r="E21" s="2">
        <v>165000</v>
      </c>
      <c r="F21" s="3" t="s">
        <v>14</v>
      </c>
      <c r="G21" s="4">
        <f t="shared" si="2"/>
        <v>175000</v>
      </c>
      <c r="H21" s="5" t="s">
        <v>15</v>
      </c>
      <c r="I21" s="28">
        <f t="shared" si="1"/>
        <v>8746.5</v>
      </c>
      <c r="J21" s="28">
        <f t="shared" si="0"/>
        <v>10293.5</v>
      </c>
      <c r="K21" s="28">
        <f t="shared" si="0"/>
        <v>1546.9999999999995</v>
      </c>
      <c r="L21" s="29">
        <f t="shared" si="0"/>
        <v>15555</v>
      </c>
      <c r="N21" s="32">
        <v>165000</v>
      </c>
      <c r="O21" s="33">
        <v>170000</v>
      </c>
    </row>
    <row r="22" spans="2:15" ht="17.100000000000001" customHeight="1" x14ac:dyDescent="0.15">
      <c r="B22" s="46">
        <v>15</v>
      </c>
      <c r="C22" s="46">
        <v>12</v>
      </c>
      <c r="D22" s="43">
        <v>180000</v>
      </c>
      <c r="E22" s="2">
        <v>175000</v>
      </c>
      <c r="F22" s="3" t="s">
        <v>14</v>
      </c>
      <c r="G22" s="4">
        <f t="shared" si="2"/>
        <v>185000</v>
      </c>
      <c r="H22" s="5" t="s">
        <v>15</v>
      </c>
      <c r="I22" s="28">
        <f t="shared" si="1"/>
        <v>9261</v>
      </c>
      <c r="J22" s="28">
        <f t="shared" si="0"/>
        <v>10899</v>
      </c>
      <c r="K22" s="28">
        <f t="shared" si="0"/>
        <v>1637.9999999999995</v>
      </c>
      <c r="L22" s="29">
        <f t="shared" si="0"/>
        <v>16470</v>
      </c>
      <c r="N22" s="32">
        <v>175000</v>
      </c>
      <c r="O22" s="33">
        <v>180000</v>
      </c>
    </row>
    <row r="23" spans="2:15" ht="17.100000000000001" customHeight="1" x14ac:dyDescent="0.15">
      <c r="B23" s="46">
        <v>16</v>
      </c>
      <c r="C23" s="46">
        <v>13</v>
      </c>
      <c r="D23" s="43">
        <v>190000</v>
      </c>
      <c r="E23" s="2">
        <v>185000</v>
      </c>
      <c r="F23" s="3" t="s">
        <v>14</v>
      </c>
      <c r="G23" s="4">
        <f t="shared" si="2"/>
        <v>195000</v>
      </c>
      <c r="H23" s="5" t="s">
        <v>15</v>
      </c>
      <c r="I23" s="28">
        <f t="shared" si="1"/>
        <v>9775.5</v>
      </c>
      <c r="J23" s="28">
        <f t="shared" si="0"/>
        <v>11504.5</v>
      </c>
      <c r="K23" s="28">
        <f t="shared" si="0"/>
        <v>1728.9999999999993</v>
      </c>
      <c r="L23" s="29">
        <f t="shared" si="0"/>
        <v>17385</v>
      </c>
      <c r="N23" s="32">
        <v>185000</v>
      </c>
      <c r="O23" s="33">
        <v>190000</v>
      </c>
    </row>
    <row r="24" spans="2:15" ht="17.100000000000001" customHeight="1" x14ac:dyDescent="0.15">
      <c r="B24" s="46">
        <v>17</v>
      </c>
      <c r="C24" s="46">
        <v>14</v>
      </c>
      <c r="D24" s="43">
        <v>200000</v>
      </c>
      <c r="E24" s="2">
        <v>195000</v>
      </c>
      <c r="F24" s="3" t="s">
        <v>14</v>
      </c>
      <c r="G24" s="4">
        <f t="shared" si="2"/>
        <v>210000</v>
      </c>
      <c r="H24" s="5" t="s">
        <v>15</v>
      </c>
      <c r="I24" s="28">
        <f t="shared" si="1"/>
        <v>10290</v>
      </c>
      <c r="J24" s="28">
        <f t="shared" si="1"/>
        <v>12110</v>
      </c>
      <c r="K24" s="28">
        <f t="shared" si="1"/>
        <v>1819.9999999999993</v>
      </c>
      <c r="L24" s="29">
        <f t="shared" si="1"/>
        <v>18300</v>
      </c>
      <c r="N24" s="32">
        <v>195000</v>
      </c>
      <c r="O24" s="33">
        <v>200000</v>
      </c>
    </row>
    <row r="25" spans="2:15" ht="17.100000000000001" customHeight="1" x14ac:dyDescent="0.15">
      <c r="B25" s="46">
        <v>18</v>
      </c>
      <c r="C25" s="46">
        <v>15</v>
      </c>
      <c r="D25" s="43">
        <v>220000</v>
      </c>
      <c r="E25" s="2">
        <v>210000</v>
      </c>
      <c r="F25" s="3" t="s">
        <v>14</v>
      </c>
      <c r="G25" s="4">
        <f t="shared" si="2"/>
        <v>230000</v>
      </c>
      <c r="H25" s="5" t="s">
        <v>15</v>
      </c>
      <c r="I25" s="28">
        <f t="shared" si="1"/>
        <v>11319</v>
      </c>
      <c r="J25" s="28">
        <f t="shared" si="1"/>
        <v>13321</v>
      </c>
      <c r="K25" s="28">
        <f t="shared" si="1"/>
        <v>2001.9999999999993</v>
      </c>
      <c r="L25" s="29">
        <f t="shared" si="1"/>
        <v>20130</v>
      </c>
      <c r="N25" s="32">
        <v>210000</v>
      </c>
      <c r="O25" s="33">
        <v>220000</v>
      </c>
    </row>
    <row r="26" spans="2:15" ht="17.100000000000001" customHeight="1" x14ac:dyDescent="0.15">
      <c r="B26" s="46">
        <v>19</v>
      </c>
      <c r="C26" s="46">
        <v>16</v>
      </c>
      <c r="D26" s="43">
        <v>240000</v>
      </c>
      <c r="E26" s="2">
        <v>230000</v>
      </c>
      <c r="F26" s="3" t="s">
        <v>14</v>
      </c>
      <c r="G26" s="4">
        <f t="shared" si="2"/>
        <v>250000</v>
      </c>
      <c r="H26" s="5" t="s">
        <v>15</v>
      </c>
      <c r="I26" s="28">
        <f t="shared" si="1"/>
        <v>12348</v>
      </c>
      <c r="J26" s="28">
        <f t="shared" si="1"/>
        <v>14532</v>
      </c>
      <c r="K26" s="28">
        <f t="shared" si="1"/>
        <v>2183.9999999999991</v>
      </c>
      <c r="L26" s="29">
        <f t="shared" si="1"/>
        <v>21960</v>
      </c>
      <c r="N26" s="32">
        <v>230000</v>
      </c>
      <c r="O26" s="33">
        <v>240000</v>
      </c>
    </row>
    <row r="27" spans="2:15" ht="17.100000000000001" customHeight="1" x14ac:dyDescent="0.15">
      <c r="B27" s="46">
        <v>20</v>
      </c>
      <c r="C27" s="46">
        <v>17</v>
      </c>
      <c r="D27" s="43">
        <v>260000</v>
      </c>
      <c r="E27" s="2">
        <v>250000</v>
      </c>
      <c r="F27" s="3" t="s">
        <v>14</v>
      </c>
      <c r="G27" s="4">
        <f t="shared" si="2"/>
        <v>270000</v>
      </c>
      <c r="H27" s="5" t="s">
        <v>15</v>
      </c>
      <c r="I27" s="28">
        <f t="shared" si="1"/>
        <v>13377</v>
      </c>
      <c r="J27" s="28">
        <f t="shared" si="1"/>
        <v>15743</v>
      </c>
      <c r="K27" s="28">
        <f t="shared" si="1"/>
        <v>2365.9999999999991</v>
      </c>
      <c r="L27" s="29">
        <f t="shared" si="1"/>
        <v>23790</v>
      </c>
      <c r="N27" s="32">
        <v>250000</v>
      </c>
      <c r="O27" s="33">
        <v>260000</v>
      </c>
    </row>
    <row r="28" spans="2:15" ht="17.100000000000001" customHeight="1" x14ac:dyDescent="0.15">
      <c r="B28" s="46">
        <v>21</v>
      </c>
      <c r="C28" s="46">
        <v>18</v>
      </c>
      <c r="D28" s="43">
        <v>280000</v>
      </c>
      <c r="E28" s="2">
        <v>270000</v>
      </c>
      <c r="F28" s="3" t="s">
        <v>14</v>
      </c>
      <c r="G28" s="4">
        <f t="shared" si="2"/>
        <v>290000</v>
      </c>
      <c r="H28" s="5" t="s">
        <v>15</v>
      </c>
      <c r="I28" s="28">
        <f t="shared" si="1"/>
        <v>14406</v>
      </c>
      <c r="J28" s="28">
        <f t="shared" si="1"/>
        <v>16954</v>
      </c>
      <c r="K28" s="28">
        <f t="shared" si="1"/>
        <v>2547.9999999999991</v>
      </c>
      <c r="L28" s="29">
        <f t="shared" si="1"/>
        <v>25620</v>
      </c>
      <c r="N28" s="32">
        <v>270000</v>
      </c>
      <c r="O28" s="33">
        <v>280000</v>
      </c>
    </row>
    <row r="29" spans="2:15" ht="17.100000000000001" customHeight="1" x14ac:dyDescent="0.15">
      <c r="B29" s="46">
        <v>22</v>
      </c>
      <c r="C29" s="46">
        <v>19</v>
      </c>
      <c r="D29" s="43">
        <v>300000</v>
      </c>
      <c r="E29" s="2">
        <v>290000</v>
      </c>
      <c r="F29" s="3" t="s">
        <v>14</v>
      </c>
      <c r="G29" s="4">
        <f t="shared" si="2"/>
        <v>310000</v>
      </c>
      <c r="H29" s="5" t="s">
        <v>15</v>
      </c>
      <c r="I29" s="28">
        <f t="shared" si="1"/>
        <v>15435</v>
      </c>
      <c r="J29" s="28">
        <f t="shared" si="1"/>
        <v>18165</v>
      </c>
      <c r="K29" s="28">
        <f t="shared" si="1"/>
        <v>2729.9999999999991</v>
      </c>
      <c r="L29" s="29">
        <f t="shared" si="1"/>
        <v>27450</v>
      </c>
      <c r="N29" s="32">
        <v>290000</v>
      </c>
      <c r="O29" s="33">
        <v>300000</v>
      </c>
    </row>
    <row r="30" spans="2:15" ht="17.100000000000001" customHeight="1" x14ac:dyDescent="0.15">
      <c r="B30" s="46">
        <v>23</v>
      </c>
      <c r="C30" s="46">
        <v>20</v>
      </c>
      <c r="D30" s="43">
        <v>320000</v>
      </c>
      <c r="E30" s="2">
        <v>310000</v>
      </c>
      <c r="F30" s="3" t="s">
        <v>14</v>
      </c>
      <c r="G30" s="4">
        <f t="shared" si="2"/>
        <v>330000</v>
      </c>
      <c r="H30" s="5" t="s">
        <v>15</v>
      </c>
      <c r="I30" s="28">
        <f t="shared" si="1"/>
        <v>16464</v>
      </c>
      <c r="J30" s="28">
        <f t="shared" si="1"/>
        <v>19376</v>
      </c>
      <c r="K30" s="28">
        <f t="shared" si="1"/>
        <v>2911.9999999999991</v>
      </c>
      <c r="L30" s="29">
        <f t="shared" si="1"/>
        <v>29280</v>
      </c>
      <c r="N30" s="32">
        <v>310000</v>
      </c>
      <c r="O30" s="33">
        <v>320000</v>
      </c>
    </row>
    <row r="31" spans="2:15" ht="17.100000000000001" customHeight="1" x14ac:dyDescent="0.15">
      <c r="B31" s="46">
        <v>24</v>
      </c>
      <c r="C31" s="46">
        <v>21</v>
      </c>
      <c r="D31" s="43">
        <v>340000</v>
      </c>
      <c r="E31" s="2">
        <v>330000</v>
      </c>
      <c r="F31" s="3" t="s">
        <v>14</v>
      </c>
      <c r="G31" s="4">
        <f t="shared" si="2"/>
        <v>350000</v>
      </c>
      <c r="H31" s="5" t="s">
        <v>15</v>
      </c>
      <c r="I31" s="28">
        <f t="shared" si="1"/>
        <v>17493</v>
      </c>
      <c r="J31" s="28">
        <f t="shared" si="1"/>
        <v>20587</v>
      </c>
      <c r="K31" s="28">
        <f t="shared" si="1"/>
        <v>3093.9999999999991</v>
      </c>
      <c r="L31" s="29">
        <f t="shared" si="1"/>
        <v>31110</v>
      </c>
      <c r="N31" s="32">
        <v>330000</v>
      </c>
      <c r="O31" s="33">
        <v>340000</v>
      </c>
    </row>
    <row r="32" spans="2:15" ht="17.100000000000001" customHeight="1" x14ac:dyDescent="0.15">
      <c r="B32" s="46">
        <v>25</v>
      </c>
      <c r="C32" s="46">
        <v>22</v>
      </c>
      <c r="D32" s="43">
        <v>360000</v>
      </c>
      <c r="E32" s="2">
        <v>350000</v>
      </c>
      <c r="F32" s="3" t="s">
        <v>14</v>
      </c>
      <c r="G32" s="4">
        <f t="shared" si="2"/>
        <v>370000</v>
      </c>
      <c r="H32" s="5" t="s">
        <v>15</v>
      </c>
      <c r="I32" s="28">
        <f t="shared" si="1"/>
        <v>18522</v>
      </c>
      <c r="J32" s="28">
        <f t="shared" si="1"/>
        <v>21798</v>
      </c>
      <c r="K32" s="28">
        <f t="shared" si="1"/>
        <v>3275.9999999999991</v>
      </c>
      <c r="L32" s="29">
        <f t="shared" si="1"/>
        <v>32940</v>
      </c>
      <c r="N32" s="32">
        <v>350000</v>
      </c>
      <c r="O32" s="33">
        <v>360000</v>
      </c>
    </row>
    <row r="33" spans="2:15" ht="17.100000000000001" customHeight="1" x14ac:dyDescent="0.15">
      <c r="B33" s="46">
        <v>26</v>
      </c>
      <c r="C33" s="46">
        <v>23</v>
      </c>
      <c r="D33" s="43">
        <v>380000</v>
      </c>
      <c r="E33" s="2">
        <v>370000</v>
      </c>
      <c r="F33" s="3" t="s">
        <v>14</v>
      </c>
      <c r="G33" s="4">
        <f t="shared" si="2"/>
        <v>395000</v>
      </c>
      <c r="H33" s="5" t="s">
        <v>15</v>
      </c>
      <c r="I33" s="28">
        <f t="shared" si="1"/>
        <v>19551</v>
      </c>
      <c r="J33" s="28">
        <f t="shared" si="1"/>
        <v>23009</v>
      </c>
      <c r="K33" s="28">
        <f t="shared" si="1"/>
        <v>3457.9999999999986</v>
      </c>
      <c r="L33" s="29">
        <f t="shared" si="1"/>
        <v>34770</v>
      </c>
      <c r="N33" s="32">
        <v>370000</v>
      </c>
      <c r="O33" s="33">
        <v>380000</v>
      </c>
    </row>
    <row r="34" spans="2:15" ht="17.100000000000001" customHeight="1" x14ac:dyDescent="0.15">
      <c r="B34" s="46">
        <v>27</v>
      </c>
      <c r="C34" s="46">
        <v>24</v>
      </c>
      <c r="D34" s="43">
        <v>410000</v>
      </c>
      <c r="E34" s="2">
        <v>395000</v>
      </c>
      <c r="F34" s="3" t="s">
        <v>14</v>
      </c>
      <c r="G34" s="4">
        <f t="shared" si="2"/>
        <v>425000</v>
      </c>
      <c r="H34" s="5" t="s">
        <v>15</v>
      </c>
      <c r="I34" s="28">
        <f t="shared" si="1"/>
        <v>21094.5</v>
      </c>
      <c r="J34" s="28">
        <f t="shared" si="1"/>
        <v>24825.5</v>
      </c>
      <c r="K34" s="28">
        <f t="shared" si="1"/>
        <v>3730.9999999999986</v>
      </c>
      <c r="L34" s="29">
        <f t="shared" si="1"/>
        <v>37515</v>
      </c>
      <c r="N34" s="32">
        <v>395000</v>
      </c>
      <c r="O34" s="33">
        <v>410000</v>
      </c>
    </row>
    <row r="35" spans="2:15" ht="17.100000000000001" customHeight="1" x14ac:dyDescent="0.15">
      <c r="B35" s="46">
        <v>28</v>
      </c>
      <c r="C35" s="46">
        <v>25</v>
      </c>
      <c r="D35" s="43">
        <v>440000</v>
      </c>
      <c r="E35" s="2">
        <v>425000</v>
      </c>
      <c r="F35" s="3" t="s">
        <v>14</v>
      </c>
      <c r="G35" s="4">
        <f t="shared" si="2"/>
        <v>455000</v>
      </c>
      <c r="H35" s="5" t="s">
        <v>15</v>
      </c>
      <c r="I35" s="28">
        <f t="shared" si="1"/>
        <v>22638</v>
      </c>
      <c r="J35" s="28">
        <f t="shared" si="1"/>
        <v>26642</v>
      </c>
      <c r="K35" s="28">
        <f t="shared" si="1"/>
        <v>4003.9999999999986</v>
      </c>
      <c r="L35" s="29">
        <f t="shared" si="1"/>
        <v>40260</v>
      </c>
      <c r="N35" s="32">
        <v>425000</v>
      </c>
      <c r="O35" s="33">
        <v>440000</v>
      </c>
    </row>
    <row r="36" spans="2:15" ht="17.100000000000001" customHeight="1" x14ac:dyDescent="0.15">
      <c r="B36" s="46">
        <v>29</v>
      </c>
      <c r="C36" s="46">
        <v>26</v>
      </c>
      <c r="D36" s="43">
        <v>470000</v>
      </c>
      <c r="E36" s="2">
        <v>455000</v>
      </c>
      <c r="F36" s="3" t="s">
        <v>14</v>
      </c>
      <c r="G36" s="4">
        <f t="shared" si="2"/>
        <v>485000</v>
      </c>
      <c r="H36" s="5" t="s">
        <v>15</v>
      </c>
      <c r="I36" s="28">
        <f t="shared" si="1"/>
        <v>24181.5</v>
      </c>
      <c r="J36" s="28">
        <f t="shared" si="1"/>
        <v>28458.5</v>
      </c>
      <c r="K36" s="28">
        <f t="shared" si="1"/>
        <v>4276.9999999999982</v>
      </c>
      <c r="L36" s="29">
        <f t="shared" si="1"/>
        <v>43005</v>
      </c>
      <c r="N36" s="32">
        <v>455000</v>
      </c>
      <c r="O36" s="33">
        <v>470000</v>
      </c>
    </row>
    <row r="37" spans="2:15" ht="17.100000000000001" customHeight="1" x14ac:dyDescent="0.15">
      <c r="B37" s="46">
        <v>30</v>
      </c>
      <c r="C37" s="46">
        <v>27</v>
      </c>
      <c r="D37" s="43">
        <v>500000</v>
      </c>
      <c r="E37" s="2">
        <v>485000</v>
      </c>
      <c r="F37" s="3" t="s">
        <v>14</v>
      </c>
      <c r="G37" s="4">
        <f t="shared" si="2"/>
        <v>515000</v>
      </c>
      <c r="H37" s="5" t="s">
        <v>15</v>
      </c>
      <c r="I37" s="685">
        <f t="shared" si="1"/>
        <v>25725</v>
      </c>
      <c r="J37" s="685">
        <f t="shared" si="1"/>
        <v>30275</v>
      </c>
      <c r="K37" s="686">
        <f t="shared" si="1"/>
        <v>4549.9999999999982</v>
      </c>
      <c r="L37" s="687">
        <f>$D37*L$4/2</f>
        <v>45750</v>
      </c>
      <c r="N37" s="34">
        <v>485000</v>
      </c>
      <c r="O37" s="35">
        <v>500000</v>
      </c>
    </row>
    <row r="38" spans="2:15" ht="17.100000000000001" customHeight="1" x14ac:dyDescent="0.15">
      <c r="B38" s="46">
        <v>31</v>
      </c>
      <c r="C38" s="46">
        <v>28</v>
      </c>
      <c r="D38" s="43">
        <v>530000</v>
      </c>
      <c r="E38" s="2">
        <v>515000</v>
      </c>
      <c r="F38" s="3" t="s">
        <v>14</v>
      </c>
      <c r="G38" s="4">
        <f t="shared" si="2"/>
        <v>545000</v>
      </c>
      <c r="H38" s="5" t="s">
        <v>15</v>
      </c>
      <c r="I38" s="688">
        <f t="shared" si="1"/>
        <v>27268.5</v>
      </c>
      <c r="J38" s="685">
        <f t="shared" si="1"/>
        <v>32091.5</v>
      </c>
      <c r="K38" s="685">
        <f t="shared" si="1"/>
        <v>4822.9999999999982</v>
      </c>
      <c r="L38" s="689">
        <f t="shared" si="1"/>
        <v>48495</v>
      </c>
      <c r="N38" s="34">
        <v>515000</v>
      </c>
      <c r="O38" s="33">
        <v>530000</v>
      </c>
    </row>
    <row r="39" spans="2:15" ht="17.100000000000001" customHeight="1" x14ac:dyDescent="0.15">
      <c r="B39" s="46">
        <v>32</v>
      </c>
      <c r="C39" s="46">
        <v>29</v>
      </c>
      <c r="D39" s="43">
        <v>560000</v>
      </c>
      <c r="E39" s="2">
        <v>545000</v>
      </c>
      <c r="F39" s="3" t="s">
        <v>14</v>
      </c>
      <c r="G39" s="4">
        <f t="shared" si="2"/>
        <v>575000</v>
      </c>
      <c r="H39" s="5" t="s">
        <v>15</v>
      </c>
      <c r="I39" s="685">
        <f t="shared" si="1"/>
        <v>28812</v>
      </c>
      <c r="J39" s="685">
        <f t="shared" si="1"/>
        <v>33908</v>
      </c>
      <c r="K39" s="685">
        <f t="shared" si="1"/>
        <v>5095.9999999999982</v>
      </c>
      <c r="L39" s="689">
        <f t="shared" si="1"/>
        <v>51240</v>
      </c>
      <c r="N39" s="34">
        <v>545000</v>
      </c>
      <c r="O39" s="33">
        <v>560000</v>
      </c>
    </row>
    <row r="40" spans="2:15" ht="17.100000000000001" customHeight="1" x14ac:dyDescent="0.15">
      <c r="B40" s="46">
        <v>33</v>
      </c>
      <c r="C40" s="46">
        <v>30</v>
      </c>
      <c r="D40" s="43">
        <v>590000</v>
      </c>
      <c r="E40" s="2">
        <v>575000</v>
      </c>
      <c r="F40" s="3" t="s">
        <v>14</v>
      </c>
      <c r="G40" s="4">
        <f t="shared" si="2"/>
        <v>605000</v>
      </c>
      <c r="H40" s="5" t="s">
        <v>15</v>
      </c>
      <c r="I40" s="685">
        <f t="shared" si="1"/>
        <v>30355.5</v>
      </c>
      <c r="J40" s="685">
        <f t="shared" si="1"/>
        <v>35724.5</v>
      </c>
      <c r="K40" s="685">
        <f t="shared" si="1"/>
        <v>5368.9999999999982</v>
      </c>
      <c r="L40" s="689">
        <f t="shared" si="1"/>
        <v>53985</v>
      </c>
      <c r="N40" s="34">
        <v>575000</v>
      </c>
      <c r="O40" s="33">
        <v>590000</v>
      </c>
    </row>
    <row r="41" spans="2:15" ht="17.100000000000001" customHeight="1" x14ac:dyDescent="0.15">
      <c r="B41" s="46">
        <v>34</v>
      </c>
      <c r="C41" s="46">
        <v>31</v>
      </c>
      <c r="D41" s="43">
        <v>620000</v>
      </c>
      <c r="E41" s="2">
        <v>605000</v>
      </c>
      <c r="F41" s="3" t="s">
        <v>14</v>
      </c>
      <c r="G41" s="4">
        <f t="shared" si="2"/>
        <v>635000</v>
      </c>
      <c r="H41" s="5" t="s">
        <v>15</v>
      </c>
      <c r="I41" s="685">
        <f t="shared" si="1"/>
        <v>31899</v>
      </c>
      <c r="J41" s="685">
        <f t="shared" si="1"/>
        <v>37541</v>
      </c>
      <c r="K41" s="685">
        <f t="shared" si="1"/>
        <v>5641.9999999999982</v>
      </c>
      <c r="L41" s="689">
        <f t="shared" si="1"/>
        <v>56730</v>
      </c>
      <c r="N41" s="34">
        <v>605000</v>
      </c>
      <c r="O41" s="33">
        <v>620000</v>
      </c>
    </row>
    <row r="42" spans="2:15" ht="17.100000000000001" customHeight="1" thickBot="1" x14ac:dyDescent="0.2">
      <c r="B42" s="46">
        <v>35</v>
      </c>
      <c r="C42" s="46">
        <v>32</v>
      </c>
      <c r="D42" s="43">
        <v>650000</v>
      </c>
      <c r="E42" s="2">
        <v>635000</v>
      </c>
      <c r="F42" s="3" t="s">
        <v>14</v>
      </c>
      <c r="G42" s="4">
        <f t="shared" si="2"/>
        <v>665000</v>
      </c>
      <c r="H42" s="5" t="s">
        <v>15</v>
      </c>
      <c r="I42" s="685">
        <f t="shared" si="1"/>
        <v>33442.5</v>
      </c>
      <c r="J42" s="685">
        <f t="shared" si="1"/>
        <v>39357.5</v>
      </c>
      <c r="K42" s="685">
        <f t="shared" si="1"/>
        <v>5914.9999999999982</v>
      </c>
      <c r="L42" s="690">
        <f t="shared" si="1"/>
        <v>59475</v>
      </c>
      <c r="N42" s="34">
        <v>635000</v>
      </c>
      <c r="O42" s="33">
        <v>650000</v>
      </c>
    </row>
    <row r="43" spans="2:15" ht="17.100000000000001" customHeight="1" x14ac:dyDescent="0.15">
      <c r="B43" s="46">
        <v>36</v>
      </c>
      <c r="C43" s="46">
        <v>32</v>
      </c>
      <c r="D43" s="43">
        <v>680000</v>
      </c>
      <c r="E43" s="2">
        <v>665000</v>
      </c>
      <c r="F43" s="3" t="s">
        <v>14</v>
      </c>
      <c r="G43" s="4">
        <f t="shared" si="2"/>
        <v>695000</v>
      </c>
      <c r="H43" s="5" t="s">
        <v>15</v>
      </c>
      <c r="I43" s="685">
        <f t="shared" si="1"/>
        <v>34986</v>
      </c>
      <c r="J43" s="685">
        <f t="shared" si="1"/>
        <v>41174</v>
      </c>
      <c r="K43" s="685">
        <f t="shared" si="1"/>
        <v>6187.9999999999982</v>
      </c>
      <c r="L43" s="691"/>
      <c r="N43" s="34">
        <v>665000</v>
      </c>
      <c r="O43" s="33">
        <v>680000</v>
      </c>
    </row>
    <row r="44" spans="2:15" ht="17.100000000000001" customHeight="1" x14ac:dyDescent="0.15">
      <c r="B44" s="46">
        <v>37</v>
      </c>
      <c r="C44" s="46">
        <v>32</v>
      </c>
      <c r="D44" s="43">
        <v>710000</v>
      </c>
      <c r="E44" s="2">
        <v>695000</v>
      </c>
      <c r="F44" s="3" t="s">
        <v>14</v>
      </c>
      <c r="G44" s="4">
        <f t="shared" si="2"/>
        <v>730000</v>
      </c>
      <c r="H44" s="5" t="s">
        <v>15</v>
      </c>
      <c r="I44" s="685">
        <f t="shared" si="1"/>
        <v>36529.5</v>
      </c>
      <c r="J44" s="685">
        <f t="shared" si="1"/>
        <v>42990.5</v>
      </c>
      <c r="K44" s="685">
        <f t="shared" si="1"/>
        <v>6460.9999999999982</v>
      </c>
      <c r="L44" s="691"/>
      <c r="N44" s="34">
        <v>695000</v>
      </c>
      <c r="O44" s="33">
        <v>710000</v>
      </c>
    </row>
    <row r="45" spans="2:15" x14ac:dyDescent="0.15">
      <c r="B45" s="46">
        <v>38</v>
      </c>
      <c r="C45" s="46">
        <v>32</v>
      </c>
      <c r="D45" s="692">
        <v>750000</v>
      </c>
      <c r="E45" s="2">
        <v>730000</v>
      </c>
      <c r="F45" s="3" t="s">
        <v>14</v>
      </c>
      <c r="G45" s="4">
        <f t="shared" si="2"/>
        <v>770000</v>
      </c>
      <c r="H45" s="5" t="s">
        <v>15</v>
      </c>
      <c r="I45" s="685">
        <f t="shared" si="1"/>
        <v>38587.5</v>
      </c>
      <c r="J45" s="685">
        <f t="shared" si="1"/>
        <v>45412.5</v>
      </c>
      <c r="K45" s="685">
        <f t="shared" si="1"/>
        <v>6824.9999999999982</v>
      </c>
      <c r="L45" s="691"/>
      <c r="N45" s="34">
        <v>730000</v>
      </c>
      <c r="O45" s="33">
        <v>750000</v>
      </c>
    </row>
    <row r="46" spans="2:15" x14ac:dyDescent="0.15">
      <c r="B46" s="693">
        <v>39</v>
      </c>
      <c r="C46" s="693">
        <v>32</v>
      </c>
      <c r="D46" s="692">
        <v>790000</v>
      </c>
      <c r="E46" s="2">
        <v>770000</v>
      </c>
      <c r="F46" s="3" t="s">
        <v>49</v>
      </c>
      <c r="G46" s="694">
        <f t="shared" si="2"/>
        <v>810000</v>
      </c>
      <c r="H46" s="5" t="s">
        <v>15</v>
      </c>
      <c r="I46" s="686">
        <f t="shared" si="1"/>
        <v>40645.5</v>
      </c>
      <c r="J46" s="686">
        <f t="shared" si="1"/>
        <v>47834.5</v>
      </c>
      <c r="K46" s="685">
        <f t="shared" si="1"/>
        <v>7188.9999999999973</v>
      </c>
      <c r="L46" s="691"/>
      <c r="N46" s="34">
        <v>770000</v>
      </c>
      <c r="O46" s="33">
        <v>790000</v>
      </c>
    </row>
    <row r="47" spans="2:15" x14ac:dyDescent="0.15">
      <c r="B47" s="46">
        <v>40</v>
      </c>
      <c r="C47" s="46">
        <v>32</v>
      </c>
      <c r="D47" s="695">
        <v>830000</v>
      </c>
      <c r="E47" s="696">
        <v>810000</v>
      </c>
      <c r="F47" s="697" t="s">
        <v>49</v>
      </c>
      <c r="G47" s="694">
        <f t="shared" si="2"/>
        <v>855000</v>
      </c>
      <c r="H47" s="5" t="s">
        <v>15</v>
      </c>
      <c r="I47" s="685">
        <f t="shared" si="1"/>
        <v>42703.5</v>
      </c>
      <c r="J47" s="685">
        <f t="shared" si="1"/>
        <v>50256.5</v>
      </c>
      <c r="K47" s="685">
        <f t="shared" si="1"/>
        <v>7552.9999999999973</v>
      </c>
      <c r="N47" s="34">
        <v>810000</v>
      </c>
      <c r="O47" s="33">
        <v>830000</v>
      </c>
    </row>
    <row r="48" spans="2:15" x14ac:dyDescent="0.15">
      <c r="B48" s="46">
        <v>41</v>
      </c>
      <c r="C48" s="46">
        <v>32</v>
      </c>
      <c r="D48" s="695">
        <v>880000</v>
      </c>
      <c r="E48" s="696">
        <v>855000</v>
      </c>
      <c r="F48" s="3" t="s">
        <v>14</v>
      </c>
      <c r="G48" s="698">
        <f t="shared" si="2"/>
        <v>905000</v>
      </c>
      <c r="H48" s="5" t="s">
        <v>15</v>
      </c>
      <c r="I48" s="685">
        <f t="shared" ref="I48:K57" si="3">$D48*I$4/2</f>
        <v>45276</v>
      </c>
      <c r="J48" s="685">
        <f t="shared" si="3"/>
        <v>53284</v>
      </c>
      <c r="K48" s="685">
        <f t="shared" si="3"/>
        <v>8007.9999999999973</v>
      </c>
      <c r="L48" s="699"/>
      <c r="N48" s="34">
        <v>855000</v>
      </c>
      <c r="O48" s="33">
        <v>880000</v>
      </c>
    </row>
    <row r="49" spans="2:15" ht="13.5" customHeight="1" x14ac:dyDescent="0.15">
      <c r="B49" s="46">
        <v>42</v>
      </c>
      <c r="C49" s="46">
        <v>32</v>
      </c>
      <c r="D49" s="695">
        <v>930000</v>
      </c>
      <c r="E49" s="696">
        <v>905000</v>
      </c>
      <c r="F49" s="3" t="s">
        <v>14</v>
      </c>
      <c r="G49" s="698">
        <f t="shared" si="2"/>
        <v>955000</v>
      </c>
      <c r="H49" s="5" t="s">
        <v>15</v>
      </c>
      <c r="I49" s="685">
        <f t="shared" si="3"/>
        <v>47848.5</v>
      </c>
      <c r="J49" s="685">
        <f t="shared" si="3"/>
        <v>56311.5</v>
      </c>
      <c r="K49" s="685">
        <f t="shared" si="3"/>
        <v>8462.9999999999964</v>
      </c>
      <c r="L49" s="699"/>
      <c r="N49" s="34">
        <v>905000</v>
      </c>
      <c r="O49" s="33">
        <v>930000</v>
      </c>
    </row>
    <row r="50" spans="2:15" x14ac:dyDescent="0.15">
      <c r="B50" s="46">
        <v>43</v>
      </c>
      <c r="C50" s="46">
        <v>32</v>
      </c>
      <c r="D50" s="695">
        <v>980000</v>
      </c>
      <c r="E50" s="696">
        <v>955000</v>
      </c>
      <c r="F50" s="3" t="s">
        <v>14</v>
      </c>
      <c r="G50" s="698">
        <f t="shared" si="2"/>
        <v>1005000</v>
      </c>
      <c r="H50" s="5" t="s">
        <v>15</v>
      </c>
      <c r="I50" s="685">
        <f t="shared" si="3"/>
        <v>50421</v>
      </c>
      <c r="J50" s="685">
        <f t="shared" si="3"/>
        <v>59339</v>
      </c>
      <c r="K50" s="685">
        <f t="shared" si="3"/>
        <v>8917.9999999999964</v>
      </c>
      <c r="N50" s="34">
        <v>955000</v>
      </c>
      <c r="O50" s="33">
        <v>980000</v>
      </c>
    </row>
    <row r="51" spans="2:15" x14ac:dyDescent="0.15">
      <c r="B51" s="46">
        <v>44</v>
      </c>
      <c r="C51" s="46">
        <v>32</v>
      </c>
      <c r="D51" s="695">
        <v>1030000</v>
      </c>
      <c r="E51" s="696">
        <v>1005000</v>
      </c>
      <c r="F51" s="3" t="s">
        <v>14</v>
      </c>
      <c r="G51" s="698">
        <f t="shared" si="2"/>
        <v>1055000</v>
      </c>
      <c r="H51" s="5" t="s">
        <v>15</v>
      </c>
      <c r="I51" s="685">
        <f t="shared" si="3"/>
        <v>52993.5</v>
      </c>
      <c r="J51" s="685">
        <f t="shared" si="3"/>
        <v>62366.5</v>
      </c>
      <c r="K51" s="685">
        <f t="shared" si="3"/>
        <v>9372.9999999999964</v>
      </c>
      <c r="N51" s="34">
        <v>1005000</v>
      </c>
      <c r="O51" s="33">
        <v>1030000</v>
      </c>
    </row>
    <row r="52" spans="2:15" x14ac:dyDescent="0.15">
      <c r="B52" s="46">
        <v>45</v>
      </c>
      <c r="C52" s="46">
        <v>32</v>
      </c>
      <c r="D52" s="695">
        <v>1090000</v>
      </c>
      <c r="E52" s="696">
        <v>1055000</v>
      </c>
      <c r="F52" s="3" t="s">
        <v>14</v>
      </c>
      <c r="G52" s="698">
        <f t="shared" si="2"/>
        <v>1115000</v>
      </c>
      <c r="H52" s="5" t="s">
        <v>15</v>
      </c>
      <c r="I52" s="685">
        <f t="shared" si="3"/>
        <v>56080.5</v>
      </c>
      <c r="J52" s="685">
        <f t="shared" si="3"/>
        <v>65999.5</v>
      </c>
      <c r="K52" s="685">
        <f t="shared" si="3"/>
        <v>9918.9999999999964</v>
      </c>
      <c r="N52" s="34">
        <v>1055000</v>
      </c>
      <c r="O52" s="33">
        <v>1090000</v>
      </c>
    </row>
    <row r="53" spans="2:15" x14ac:dyDescent="0.15">
      <c r="B53" s="46">
        <v>46</v>
      </c>
      <c r="C53" s="46">
        <v>32</v>
      </c>
      <c r="D53" s="695">
        <v>1150000</v>
      </c>
      <c r="E53" s="696">
        <v>1115000</v>
      </c>
      <c r="F53" s="3" t="s">
        <v>14</v>
      </c>
      <c r="G53" s="698">
        <f t="shared" si="2"/>
        <v>1175000</v>
      </c>
      <c r="H53" s="5" t="s">
        <v>15</v>
      </c>
      <c r="I53" s="685">
        <f t="shared" si="3"/>
        <v>59167.5</v>
      </c>
      <c r="J53" s="685">
        <f t="shared" si="3"/>
        <v>69632.5</v>
      </c>
      <c r="K53" s="685">
        <f t="shared" si="3"/>
        <v>10464.999999999996</v>
      </c>
      <c r="N53" s="34">
        <v>1115000</v>
      </c>
      <c r="O53" s="33">
        <v>1150000</v>
      </c>
    </row>
    <row r="54" spans="2:15" x14ac:dyDescent="0.15">
      <c r="B54" s="46">
        <v>47</v>
      </c>
      <c r="C54" s="46">
        <v>32</v>
      </c>
      <c r="D54" s="695">
        <v>1210000</v>
      </c>
      <c r="E54" s="696">
        <v>1175000</v>
      </c>
      <c r="F54" s="3" t="s">
        <v>14</v>
      </c>
      <c r="G54" s="698">
        <f t="shared" si="2"/>
        <v>1235000</v>
      </c>
      <c r="H54" s="5" t="s">
        <v>15</v>
      </c>
      <c r="I54" s="685">
        <f t="shared" si="3"/>
        <v>62254.5</v>
      </c>
      <c r="J54" s="685">
        <f t="shared" si="3"/>
        <v>73265.5</v>
      </c>
      <c r="K54" s="685">
        <f t="shared" si="3"/>
        <v>11010.999999999996</v>
      </c>
      <c r="N54" s="34">
        <v>1175000</v>
      </c>
      <c r="O54" s="33">
        <v>1210000</v>
      </c>
    </row>
    <row r="55" spans="2:15" x14ac:dyDescent="0.15">
      <c r="B55" s="46">
        <v>48</v>
      </c>
      <c r="C55" s="46">
        <v>32</v>
      </c>
      <c r="D55" s="695">
        <v>1270000</v>
      </c>
      <c r="E55" s="696">
        <v>1235000</v>
      </c>
      <c r="F55" s="3" t="s">
        <v>14</v>
      </c>
      <c r="G55" s="698">
        <f t="shared" si="2"/>
        <v>1295000</v>
      </c>
      <c r="H55" s="5" t="s">
        <v>15</v>
      </c>
      <c r="I55" s="685">
        <f t="shared" si="3"/>
        <v>65341.5</v>
      </c>
      <c r="J55" s="685">
        <f t="shared" si="3"/>
        <v>76898.5</v>
      </c>
      <c r="K55" s="685">
        <f t="shared" si="3"/>
        <v>11556.999999999996</v>
      </c>
      <c r="N55" s="34">
        <v>1235000</v>
      </c>
      <c r="O55" s="33">
        <v>1270000</v>
      </c>
    </row>
    <row r="56" spans="2:15" x14ac:dyDescent="0.15">
      <c r="B56" s="46">
        <v>49</v>
      </c>
      <c r="C56" s="46">
        <v>32</v>
      </c>
      <c r="D56" s="695">
        <v>1330000</v>
      </c>
      <c r="E56" s="696">
        <v>1295000</v>
      </c>
      <c r="F56" s="3" t="s">
        <v>14</v>
      </c>
      <c r="G56" s="698">
        <f t="shared" si="2"/>
        <v>1355000</v>
      </c>
      <c r="H56" s="5" t="s">
        <v>15</v>
      </c>
      <c r="I56" s="685">
        <f t="shared" si="3"/>
        <v>68428.5</v>
      </c>
      <c r="J56" s="685">
        <f t="shared" si="3"/>
        <v>80531.5</v>
      </c>
      <c r="K56" s="685">
        <f t="shared" si="3"/>
        <v>12102.999999999996</v>
      </c>
      <c r="N56" s="34">
        <v>1295000</v>
      </c>
      <c r="O56" s="33">
        <v>1330000</v>
      </c>
    </row>
    <row r="57" spans="2:15" ht="14.25" thickBot="1" x14ac:dyDescent="0.2">
      <c r="B57" s="700">
        <v>50</v>
      </c>
      <c r="C57" s="700">
        <v>32</v>
      </c>
      <c r="D57" s="695">
        <v>1390000</v>
      </c>
      <c r="E57" s="696">
        <v>1355000</v>
      </c>
      <c r="F57" s="3" t="s">
        <v>14</v>
      </c>
      <c r="G57" s="698">
        <f t="shared" si="2"/>
        <v>0</v>
      </c>
      <c r="H57" s="5" t="s">
        <v>15</v>
      </c>
      <c r="I57" s="685">
        <f t="shared" si="3"/>
        <v>71515.5</v>
      </c>
      <c r="J57" s="685">
        <f t="shared" si="3"/>
        <v>84164.5</v>
      </c>
      <c r="K57" s="685">
        <f t="shared" si="3"/>
        <v>12648.999999999996</v>
      </c>
      <c r="N57" s="701">
        <v>1355000</v>
      </c>
      <c r="O57" s="36">
        <v>1390000</v>
      </c>
    </row>
    <row r="58" spans="2:15" x14ac:dyDescent="0.15">
      <c r="I58" t="s">
        <v>22</v>
      </c>
      <c r="N58" s="702"/>
    </row>
    <row r="59" spans="2:15" x14ac:dyDescent="0.15">
      <c r="J59" s="6"/>
      <c r="K59" s="6"/>
      <c r="L59" s="7"/>
    </row>
  </sheetData>
  <sheetProtection sheet="1" objects="1" scenarios="1"/>
  <mergeCells count="3">
    <mergeCell ref="B5:D5"/>
    <mergeCell ref="I5:L5"/>
    <mergeCell ref="E6:H6"/>
  </mergeCells>
  <phoneticPr fontId="3"/>
  <printOptions horizontalCentered="1"/>
  <pageMargins left="0.39370078740157483" right="0.39370078740157483" top="0.98425196850393704" bottom="0.98425196850393704" header="0.51181102362204722" footer="0.51181102362204722"/>
  <pageSetup paperSize="9" scale="75" orientation="portrait" r:id="rId1"/>
  <headerFooter alignWithMargins="0">
    <oddFooter>&amp;C&amp;P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E2C0F-28E6-4579-BC3C-8C0A5B58E57E}">
  <sheetPr>
    <tabColor rgb="FF00FFFF"/>
  </sheetPr>
  <dimension ref="B1:Q59"/>
  <sheetViews>
    <sheetView showGridLines="0" zoomScaleNormal="100" workbookViewId="0">
      <selection activeCell="I7" sqref="I7"/>
    </sheetView>
  </sheetViews>
  <sheetFormatPr defaultRowHeight="13.5" x14ac:dyDescent="0.15"/>
  <cols>
    <col min="2" max="2" width="19.25" customWidth="1"/>
    <col min="3" max="3" width="5.125" customWidth="1"/>
    <col min="4" max="4" width="3.625" customWidth="1"/>
    <col min="5" max="5" width="11.375" customWidth="1"/>
    <col min="6" max="6" width="3.875" customWidth="1"/>
    <col min="7" max="7" width="14.875" customWidth="1"/>
    <col min="8" max="8" width="4.625" customWidth="1"/>
    <col min="9" max="10" width="15.625" customWidth="1"/>
    <col min="11" max="11" width="16.25" customWidth="1"/>
    <col min="12" max="12" width="15" customWidth="1"/>
    <col min="14" max="17" width="12.875" customWidth="1"/>
  </cols>
  <sheetData>
    <row r="1" spans="2:17" s="15" customFormat="1" ht="20.25" customHeight="1" x14ac:dyDescent="0.15">
      <c r="B1" s="729">
        <v>1</v>
      </c>
      <c r="C1" s="15">
        <v>2</v>
      </c>
      <c r="D1" s="15">
        <v>3</v>
      </c>
      <c r="E1" s="15">
        <v>4</v>
      </c>
      <c r="F1" s="15">
        <v>5</v>
      </c>
      <c r="G1" s="15">
        <v>6</v>
      </c>
      <c r="H1" s="15">
        <v>7</v>
      </c>
      <c r="I1" s="15">
        <v>8</v>
      </c>
    </row>
    <row r="2" spans="2:17" ht="24.75" customHeight="1" thickBot="1" x14ac:dyDescent="0.2">
      <c r="B2" s="730" t="s">
        <v>62</v>
      </c>
      <c r="N2" s="48" t="s">
        <v>16</v>
      </c>
    </row>
    <row r="3" spans="2:17" ht="21.95" customHeight="1" thickBot="1" x14ac:dyDescent="0.2">
      <c r="B3" s="1100" t="s">
        <v>60</v>
      </c>
      <c r="C3" s="1101"/>
      <c r="D3" s="1101"/>
      <c r="E3" s="1101"/>
      <c r="F3" s="1101"/>
      <c r="G3" s="1102"/>
      <c r="H3" s="731" t="s">
        <v>61</v>
      </c>
      <c r="I3" s="732" t="s">
        <v>56</v>
      </c>
      <c r="N3" s="1105" t="s">
        <v>20</v>
      </c>
      <c r="O3" s="1106"/>
      <c r="P3" s="1105" t="s">
        <v>86</v>
      </c>
      <c r="Q3" s="1106"/>
    </row>
    <row r="4" spans="2:17" ht="37.5" customHeight="1" x14ac:dyDescent="0.15">
      <c r="B4" s="1107" t="s">
        <v>52</v>
      </c>
      <c r="C4" s="1108"/>
      <c r="D4" s="733"/>
      <c r="E4" s="1109" t="s">
        <v>53</v>
      </c>
      <c r="F4" s="1109"/>
      <c r="G4" s="1108"/>
      <c r="H4" s="734"/>
      <c r="I4" s="735" t="s">
        <v>56</v>
      </c>
      <c r="K4" s="1110" t="s">
        <v>16</v>
      </c>
      <c r="L4" s="1111"/>
      <c r="N4" s="736">
        <v>-2000000</v>
      </c>
      <c r="O4" s="737">
        <v>0</v>
      </c>
      <c r="P4" s="736">
        <v>-2000000</v>
      </c>
      <c r="Q4" s="738">
        <v>0</v>
      </c>
    </row>
    <row r="5" spans="2:17" ht="21.95" customHeight="1" x14ac:dyDescent="0.15">
      <c r="B5" s="739">
        <v>1625000</v>
      </c>
      <c r="C5" s="740" t="s">
        <v>54</v>
      </c>
      <c r="D5" s="741"/>
      <c r="E5" s="742">
        <v>550000</v>
      </c>
      <c r="F5" s="739"/>
      <c r="G5" s="742"/>
      <c r="H5" s="743" t="s">
        <v>61</v>
      </c>
      <c r="I5" s="744">
        <v>480000</v>
      </c>
      <c r="K5" s="745">
        <v>0</v>
      </c>
      <c r="L5" s="746">
        <v>1625000</v>
      </c>
      <c r="N5" s="736">
        <v>1</v>
      </c>
      <c r="O5" s="737">
        <v>0.05</v>
      </c>
      <c r="P5" s="736">
        <v>1</v>
      </c>
      <c r="Q5" s="738">
        <v>0</v>
      </c>
    </row>
    <row r="6" spans="2:17" ht="21.95" customHeight="1" x14ac:dyDescent="0.15">
      <c r="B6" s="739">
        <v>1800000</v>
      </c>
      <c r="C6" s="740" t="s">
        <v>54</v>
      </c>
      <c r="D6" s="741" t="s">
        <v>57</v>
      </c>
      <c r="E6" s="747">
        <v>0.4</v>
      </c>
      <c r="F6" s="743" t="s">
        <v>45</v>
      </c>
      <c r="G6" s="742">
        <v>-100000</v>
      </c>
      <c r="H6" s="743" t="s">
        <v>61</v>
      </c>
      <c r="I6" s="744">
        <v>480000</v>
      </c>
      <c r="K6" s="748">
        <f>$B5+1</f>
        <v>1625001</v>
      </c>
      <c r="L6" s="746">
        <v>1800000</v>
      </c>
      <c r="N6" s="736">
        <v>1950001</v>
      </c>
      <c r="O6" s="737">
        <v>0.1</v>
      </c>
      <c r="P6" s="736">
        <v>1950001</v>
      </c>
      <c r="Q6" s="738">
        <v>97500</v>
      </c>
    </row>
    <row r="7" spans="2:17" ht="21.95" customHeight="1" x14ac:dyDescent="0.15">
      <c r="B7" s="739">
        <v>3600000</v>
      </c>
      <c r="C7" s="740" t="s">
        <v>54</v>
      </c>
      <c r="D7" s="741" t="s">
        <v>57</v>
      </c>
      <c r="E7" s="747">
        <v>0.3</v>
      </c>
      <c r="F7" s="743" t="s">
        <v>45</v>
      </c>
      <c r="G7" s="742">
        <v>80000</v>
      </c>
      <c r="H7" s="743" t="s">
        <v>61</v>
      </c>
      <c r="I7" s="744">
        <v>480000</v>
      </c>
      <c r="K7" s="748">
        <f>$B6+1</f>
        <v>1800001</v>
      </c>
      <c r="L7" s="746">
        <v>3600000</v>
      </c>
      <c r="N7" s="736">
        <v>3300001</v>
      </c>
      <c r="O7" s="737">
        <v>0.2</v>
      </c>
      <c r="P7" s="736">
        <v>3300001</v>
      </c>
      <c r="Q7" s="738">
        <v>427500</v>
      </c>
    </row>
    <row r="8" spans="2:17" ht="21.95" customHeight="1" x14ac:dyDescent="0.15">
      <c r="B8" s="739">
        <v>6600000</v>
      </c>
      <c r="C8" s="740" t="s">
        <v>54</v>
      </c>
      <c r="D8" s="741" t="s">
        <v>57</v>
      </c>
      <c r="E8" s="747">
        <v>0.2</v>
      </c>
      <c r="F8" s="743" t="s">
        <v>45</v>
      </c>
      <c r="G8" s="742">
        <v>440000</v>
      </c>
      <c r="H8" s="743" t="s">
        <v>61</v>
      </c>
      <c r="I8" s="744">
        <v>480000</v>
      </c>
      <c r="K8" s="748">
        <f>$B7+1</f>
        <v>3600001</v>
      </c>
      <c r="L8" s="746">
        <v>6600000</v>
      </c>
      <c r="N8" s="736">
        <v>6950001</v>
      </c>
      <c r="O8" s="737">
        <v>0.23</v>
      </c>
      <c r="P8" s="736">
        <v>6950001</v>
      </c>
      <c r="Q8" s="738">
        <v>636000</v>
      </c>
    </row>
    <row r="9" spans="2:17" ht="21.95" customHeight="1" x14ac:dyDescent="0.15">
      <c r="B9" s="739">
        <v>8500000</v>
      </c>
      <c r="C9" s="740" t="s">
        <v>54</v>
      </c>
      <c r="D9" s="741" t="s">
        <v>57</v>
      </c>
      <c r="E9" s="749">
        <v>0.1</v>
      </c>
      <c r="F9" s="743" t="s">
        <v>45</v>
      </c>
      <c r="G9" s="742">
        <v>1100000</v>
      </c>
      <c r="H9" s="743" t="s">
        <v>61</v>
      </c>
      <c r="I9" s="744">
        <v>480000</v>
      </c>
      <c r="K9" s="748">
        <f>$B8+1</f>
        <v>6600001</v>
      </c>
      <c r="L9" s="746">
        <v>8500000</v>
      </c>
      <c r="N9" s="736">
        <v>9000001</v>
      </c>
      <c r="O9" s="737">
        <v>0.33</v>
      </c>
      <c r="P9" s="736">
        <v>9000001</v>
      </c>
      <c r="Q9" s="738">
        <v>1536000</v>
      </c>
    </row>
    <row r="10" spans="2:17" ht="21.95" customHeight="1" thickBot="1" x14ac:dyDescent="0.2">
      <c r="B10" s="739">
        <v>8500001</v>
      </c>
      <c r="C10" s="740" t="s">
        <v>44</v>
      </c>
      <c r="D10" s="750"/>
      <c r="E10" s="749" t="s">
        <v>55</v>
      </c>
      <c r="F10" s="751"/>
      <c r="G10" s="747">
        <v>1950000</v>
      </c>
      <c r="H10" s="743" t="s">
        <v>61</v>
      </c>
      <c r="I10" s="744">
        <v>480000</v>
      </c>
      <c r="J10" s="752" t="s">
        <v>58</v>
      </c>
      <c r="K10" s="753">
        <f>$B9+1</f>
        <v>8500001</v>
      </c>
      <c r="L10" s="754">
        <v>8500001</v>
      </c>
      <c r="N10" s="736">
        <v>18000001</v>
      </c>
      <c r="O10" s="737">
        <v>0.4</v>
      </c>
      <c r="P10" s="736">
        <v>18000001</v>
      </c>
      <c r="Q10" s="738">
        <v>2796000</v>
      </c>
    </row>
    <row r="11" spans="2:17" ht="21.95" customHeight="1" thickBot="1" x14ac:dyDescent="0.2">
      <c r="B11" s="755"/>
      <c r="C11" s="206"/>
      <c r="E11" s="756" t="s">
        <v>59</v>
      </c>
      <c r="N11" s="757">
        <v>40000001</v>
      </c>
      <c r="O11" s="758">
        <v>0.45</v>
      </c>
      <c r="P11" s="757">
        <v>40000001</v>
      </c>
      <c r="Q11" s="759">
        <v>4796000</v>
      </c>
    </row>
    <row r="12" spans="2:17" ht="7.5" customHeight="1" x14ac:dyDescent="0.15">
      <c r="B12" s="760"/>
    </row>
    <row r="13" spans="2:17" ht="7.5" customHeight="1" x14ac:dyDescent="0.15">
      <c r="B13" s="760"/>
    </row>
    <row r="14" spans="2:17" ht="21.95" customHeight="1" x14ac:dyDescent="0.15">
      <c r="B14" s="1103" t="s">
        <v>274</v>
      </c>
      <c r="C14" s="1103"/>
      <c r="D14" s="1104">
        <v>2.1000000000000001E-2</v>
      </c>
      <c r="E14" s="1104"/>
    </row>
    <row r="15" spans="2:17" ht="21.95" customHeight="1" x14ac:dyDescent="0.15"/>
    <row r="16" spans="2:17" ht="21.95" customHeight="1" x14ac:dyDescent="0.15">
      <c r="B16" s="761" t="s">
        <v>270</v>
      </c>
      <c r="C16" s="1100" t="s">
        <v>272</v>
      </c>
      <c r="D16" s="1101"/>
      <c r="E16" s="1101"/>
      <c r="F16" s="1101"/>
      <c r="G16" s="1101"/>
      <c r="H16" s="1102"/>
      <c r="I16" s="762">
        <v>480000</v>
      </c>
    </row>
    <row r="17" spans="2:9" ht="21.95" customHeight="1" x14ac:dyDescent="0.15">
      <c r="B17" s="761" t="s">
        <v>271</v>
      </c>
      <c r="C17" s="1100" t="s">
        <v>273</v>
      </c>
      <c r="D17" s="1101"/>
      <c r="E17" s="1101"/>
      <c r="F17" s="1101"/>
      <c r="G17" s="1101"/>
      <c r="H17" s="1102"/>
      <c r="I17" s="762">
        <v>430000</v>
      </c>
    </row>
    <row r="18" spans="2:9" ht="21.95" customHeight="1" x14ac:dyDescent="0.15"/>
    <row r="19" spans="2:9" ht="21.95" customHeight="1" thickBot="1" x14ac:dyDescent="0.2"/>
    <row r="20" spans="2:9" ht="21.95" customHeight="1" thickBot="1" x14ac:dyDescent="0.2">
      <c r="B20" s="1115" t="s">
        <v>280</v>
      </c>
      <c r="C20" s="1116"/>
      <c r="D20" s="1116"/>
      <c r="E20" s="1116"/>
      <c r="F20" s="1116"/>
      <c r="G20" s="1117"/>
    </row>
    <row r="21" spans="2:9" ht="21" customHeight="1" thickBot="1" x14ac:dyDescent="0.2">
      <c r="B21" s="1120" t="s">
        <v>275</v>
      </c>
      <c r="C21" s="1120"/>
      <c r="D21" s="1120"/>
      <c r="E21" s="1120"/>
      <c r="F21" s="1120"/>
      <c r="G21" s="763" t="s">
        <v>277</v>
      </c>
    </row>
    <row r="22" spans="2:9" ht="63" customHeight="1" x14ac:dyDescent="0.15">
      <c r="B22" s="1118" t="s">
        <v>278</v>
      </c>
      <c r="C22" s="1118"/>
      <c r="D22" s="1118"/>
      <c r="E22" s="1118"/>
      <c r="F22" s="1119"/>
      <c r="G22" s="1112">
        <v>2000000</v>
      </c>
    </row>
    <row r="23" spans="2:9" ht="21" customHeight="1" x14ac:dyDescent="0.15">
      <c r="B23" s="1103" t="s">
        <v>276</v>
      </c>
      <c r="C23" s="1103"/>
      <c r="D23" s="1103"/>
      <c r="E23" s="1103"/>
      <c r="F23" s="1100"/>
      <c r="G23" s="1113"/>
    </row>
    <row r="24" spans="2:9" ht="64.5" customHeight="1" thickBot="1" x14ac:dyDescent="0.2">
      <c r="B24" s="1118" t="s">
        <v>279</v>
      </c>
      <c r="C24" s="1118"/>
      <c r="D24" s="1118"/>
      <c r="E24" s="1118"/>
      <c r="F24" s="1119"/>
      <c r="G24" s="1114"/>
    </row>
    <row r="25" spans="2:9" ht="21" customHeight="1" x14ac:dyDescent="0.15"/>
    <row r="26" spans="2:9" ht="21" customHeight="1" x14ac:dyDescent="0.15"/>
    <row r="27" spans="2:9" ht="21" customHeight="1" x14ac:dyDescent="0.15"/>
    <row r="28" spans="2:9" ht="21" customHeight="1" x14ac:dyDescent="0.15"/>
    <row r="29" spans="2:9" ht="21" customHeight="1" x14ac:dyDescent="0.15"/>
    <row r="59" spans="12:12" ht="15" x14ac:dyDescent="0.15">
      <c r="L59" s="764"/>
    </row>
  </sheetData>
  <sheetProtection sheet="1" objects="1" scenarios="1"/>
  <mergeCells count="16">
    <mergeCell ref="G22:G24"/>
    <mergeCell ref="B20:G20"/>
    <mergeCell ref="B24:F24"/>
    <mergeCell ref="B23:F23"/>
    <mergeCell ref="B22:F22"/>
    <mergeCell ref="B21:F21"/>
    <mergeCell ref="C17:H17"/>
    <mergeCell ref="C16:H16"/>
    <mergeCell ref="B14:C14"/>
    <mergeCell ref="D14:E14"/>
    <mergeCell ref="P3:Q3"/>
    <mergeCell ref="B4:C4"/>
    <mergeCell ref="E4:G4"/>
    <mergeCell ref="B3:G3"/>
    <mergeCell ref="K4:L4"/>
    <mergeCell ref="N3:O3"/>
  </mergeCells>
  <phoneticPr fontId="3"/>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indexed="10"/>
    <pageSetUpPr autoPageBreaks="0"/>
  </sheetPr>
  <dimension ref="B2:J41"/>
  <sheetViews>
    <sheetView showGridLines="0" zoomScaleNormal="100" workbookViewId="0">
      <selection activeCell="F2" sqref="F2"/>
    </sheetView>
  </sheetViews>
  <sheetFormatPr defaultRowHeight="13.5" x14ac:dyDescent="0.15"/>
  <cols>
    <col min="1" max="1" width="3.875" customWidth="1"/>
    <col min="2" max="2" width="2.875" customWidth="1"/>
    <col min="3" max="9" width="9.375" customWidth="1"/>
    <col min="10" max="10" width="17.875" customWidth="1"/>
  </cols>
  <sheetData>
    <row r="2" spans="2:10" ht="25.5" customHeight="1" thickBot="1" x14ac:dyDescent="0.2"/>
    <row r="3" spans="2:10" ht="14.25" x14ac:dyDescent="0.15">
      <c r="B3" s="765"/>
      <c r="C3" s="766"/>
      <c r="D3" s="766"/>
      <c r="E3" s="766"/>
      <c r="F3" s="766"/>
      <c r="G3" s="766"/>
      <c r="H3" s="766"/>
      <c r="I3" s="766"/>
      <c r="J3" s="767"/>
    </row>
    <row r="4" spans="2:10" ht="14.25" x14ac:dyDescent="0.15">
      <c r="B4" s="768"/>
      <c r="C4" s="769" t="s">
        <v>35</v>
      </c>
      <c r="D4" s="770"/>
      <c r="E4" s="770"/>
      <c r="F4" s="770"/>
      <c r="G4" s="770"/>
      <c r="H4" s="770"/>
      <c r="I4" s="770"/>
      <c r="J4" s="771"/>
    </row>
    <row r="5" spans="2:10" ht="14.25" x14ac:dyDescent="0.15">
      <c r="B5" s="768"/>
      <c r="C5" s="770"/>
      <c r="D5" s="770"/>
      <c r="E5" s="770"/>
      <c r="F5" s="770"/>
      <c r="G5" s="770"/>
      <c r="H5" s="770"/>
      <c r="I5" s="770"/>
      <c r="J5" s="771"/>
    </row>
    <row r="6" spans="2:10" ht="14.25" x14ac:dyDescent="0.15">
      <c r="B6" s="768"/>
      <c r="C6" s="769" t="s">
        <v>36</v>
      </c>
      <c r="D6" s="770"/>
      <c r="E6" s="770"/>
      <c r="F6" s="770"/>
      <c r="G6" s="770"/>
      <c r="H6" s="770"/>
      <c r="I6" s="770"/>
      <c r="J6" s="771"/>
    </row>
    <row r="7" spans="2:10" ht="14.25" x14ac:dyDescent="0.15">
      <c r="B7" s="768"/>
      <c r="C7" s="770" t="s">
        <v>37</v>
      </c>
      <c r="D7" s="770"/>
      <c r="E7" s="770"/>
      <c r="F7" s="770"/>
      <c r="G7" s="770"/>
      <c r="H7" s="770"/>
      <c r="I7" s="770"/>
      <c r="J7" s="771"/>
    </row>
    <row r="8" spans="2:10" ht="14.25" x14ac:dyDescent="0.15">
      <c r="B8" s="768"/>
      <c r="C8" s="770" t="s">
        <v>38</v>
      </c>
      <c r="D8" s="770"/>
      <c r="E8" s="770"/>
      <c r="F8" s="770"/>
      <c r="G8" s="770"/>
      <c r="H8" s="770"/>
      <c r="I8" s="770"/>
      <c r="J8" s="771"/>
    </row>
    <row r="9" spans="2:10" ht="14.25" x14ac:dyDescent="0.15">
      <c r="B9" s="768"/>
      <c r="C9" s="770" t="s">
        <v>39</v>
      </c>
      <c r="D9" s="770"/>
      <c r="E9" s="770"/>
      <c r="F9" s="770"/>
      <c r="G9" s="770"/>
      <c r="H9" s="770"/>
      <c r="I9" s="770"/>
      <c r="J9" s="771"/>
    </row>
    <row r="10" spans="2:10" ht="14.25" x14ac:dyDescent="0.15">
      <c r="B10" s="768"/>
      <c r="C10" s="770"/>
      <c r="D10" s="770"/>
      <c r="E10" s="770"/>
      <c r="F10" s="770"/>
      <c r="G10" s="770"/>
      <c r="H10" s="770"/>
      <c r="I10" s="770"/>
      <c r="J10" s="771"/>
    </row>
    <row r="11" spans="2:10" ht="14.25" x14ac:dyDescent="0.15">
      <c r="B11" s="768"/>
      <c r="C11" s="769" t="s">
        <v>173</v>
      </c>
      <c r="D11" s="770"/>
      <c r="E11" s="770"/>
      <c r="F11" s="770"/>
      <c r="G11" s="770"/>
      <c r="H11" s="770"/>
      <c r="I11" s="770"/>
      <c r="J11" s="771"/>
    </row>
    <row r="12" spans="2:10" ht="14.25" x14ac:dyDescent="0.15">
      <c r="B12" s="768"/>
      <c r="C12" s="770" t="s">
        <v>174</v>
      </c>
      <c r="D12" s="770"/>
      <c r="E12" s="770"/>
      <c r="F12" s="770"/>
      <c r="G12" s="770"/>
      <c r="H12" s="770"/>
      <c r="I12" s="770"/>
      <c r="J12" s="771"/>
    </row>
    <row r="13" spans="2:10" ht="14.25" x14ac:dyDescent="0.15">
      <c r="B13" s="768"/>
      <c r="C13" s="770" t="s">
        <v>175</v>
      </c>
      <c r="D13" s="770"/>
      <c r="E13" s="770"/>
      <c r="F13" s="770"/>
      <c r="G13" s="770"/>
      <c r="H13" s="770"/>
      <c r="I13" s="770"/>
      <c r="J13" s="771"/>
    </row>
    <row r="14" spans="2:10" ht="14.25" x14ac:dyDescent="0.15">
      <c r="B14" s="768"/>
      <c r="C14" s="770"/>
      <c r="D14" s="770"/>
      <c r="E14" s="770"/>
      <c r="F14" s="770"/>
      <c r="G14" s="770"/>
      <c r="H14" s="770"/>
      <c r="I14" s="770"/>
      <c r="J14" s="771"/>
    </row>
    <row r="15" spans="2:10" ht="14.25" x14ac:dyDescent="0.15">
      <c r="B15" s="768"/>
      <c r="C15" s="769" t="s">
        <v>40</v>
      </c>
      <c r="D15" s="770"/>
      <c r="E15" s="770"/>
      <c r="F15" s="770"/>
      <c r="G15" s="770"/>
      <c r="H15" s="770"/>
      <c r="I15" s="770"/>
      <c r="J15" s="771"/>
    </row>
    <row r="16" spans="2:10" ht="14.25" x14ac:dyDescent="0.15">
      <c r="B16" s="768"/>
      <c r="C16" s="770" t="s">
        <v>41</v>
      </c>
      <c r="D16" s="770"/>
      <c r="E16" s="770"/>
      <c r="F16" s="770"/>
      <c r="G16" s="770"/>
      <c r="H16" s="770"/>
      <c r="I16" s="770"/>
      <c r="J16" s="771"/>
    </row>
    <row r="17" spans="2:10" ht="14.25" x14ac:dyDescent="0.15">
      <c r="B17" s="768"/>
      <c r="C17" s="770" t="s">
        <v>172</v>
      </c>
      <c r="D17" s="770"/>
      <c r="E17" s="770"/>
      <c r="F17" s="770"/>
      <c r="G17" s="770"/>
      <c r="H17" s="770"/>
      <c r="I17" s="770"/>
      <c r="J17" s="771"/>
    </row>
    <row r="18" spans="2:10" ht="14.25" x14ac:dyDescent="0.15">
      <c r="B18" s="768"/>
      <c r="C18" s="770"/>
      <c r="D18" s="770"/>
      <c r="E18" s="770"/>
      <c r="F18" s="770"/>
      <c r="G18" s="770"/>
      <c r="H18" s="770"/>
      <c r="I18" s="770"/>
      <c r="J18" s="771"/>
    </row>
    <row r="19" spans="2:10" ht="14.25" x14ac:dyDescent="0.15">
      <c r="B19" s="768"/>
      <c r="C19" s="769" t="s">
        <v>374</v>
      </c>
      <c r="D19" s="770"/>
      <c r="E19" s="770"/>
      <c r="F19" s="770"/>
      <c r="G19" s="770"/>
      <c r="H19" s="770"/>
      <c r="I19" s="770"/>
      <c r="J19" s="771"/>
    </row>
    <row r="20" spans="2:10" ht="14.25" x14ac:dyDescent="0.15">
      <c r="B20" s="768"/>
      <c r="C20" s="770" t="s">
        <v>376</v>
      </c>
      <c r="D20" s="770"/>
      <c r="E20" s="770"/>
      <c r="F20" s="770"/>
      <c r="G20" s="770"/>
      <c r="H20" s="770"/>
      <c r="I20" s="770"/>
      <c r="J20" s="771"/>
    </row>
    <row r="21" spans="2:10" ht="14.25" x14ac:dyDescent="0.15">
      <c r="B21" s="768"/>
      <c r="C21" s="770" t="s">
        <v>375</v>
      </c>
      <c r="D21" s="770"/>
      <c r="E21" s="770"/>
      <c r="F21" s="770"/>
      <c r="G21" s="770"/>
      <c r="H21" s="770"/>
      <c r="I21" s="770"/>
      <c r="J21" s="771"/>
    </row>
    <row r="22" spans="2:10" ht="14.25" x14ac:dyDescent="0.15">
      <c r="B22" s="768"/>
      <c r="C22" s="770"/>
      <c r="D22" s="770"/>
      <c r="E22" s="770"/>
      <c r="F22" s="770"/>
      <c r="G22" s="770"/>
      <c r="H22" s="770"/>
      <c r="I22" s="770"/>
      <c r="J22" s="771"/>
    </row>
    <row r="23" spans="2:10" ht="14.25" x14ac:dyDescent="0.15">
      <c r="B23" s="768"/>
      <c r="C23" s="770"/>
      <c r="D23" s="770" t="s">
        <v>42</v>
      </c>
      <c r="E23" s="770"/>
      <c r="F23" s="770"/>
      <c r="G23" s="770"/>
      <c r="H23" s="770"/>
      <c r="I23" s="770"/>
      <c r="J23" s="771"/>
    </row>
    <row r="24" spans="2:10" ht="14.25" x14ac:dyDescent="0.15">
      <c r="B24" s="768"/>
      <c r="C24" s="770"/>
      <c r="D24" s="770" t="s">
        <v>43</v>
      </c>
      <c r="E24" s="770"/>
      <c r="F24" s="770"/>
      <c r="G24" s="1121">
        <v>45297</v>
      </c>
      <c r="H24" s="1121"/>
      <c r="I24" s="770"/>
      <c r="J24" s="771"/>
    </row>
    <row r="25" spans="2:10" ht="15" thickBot="1" x14ac:dyDescent="0.2">
      <c r="B25" s="772"/>
      <c r="C25" s="773"/>
      <c r="D25" s="773"/>
      <c r="E25" s="773"/>
      <c r="F25" s="773"/>
      <c r="G25" s="773"/>
      <c r="H25" s="773"/>
      <c r="I25" s="773"/>
      <c r="J25" s="774"/>
    </row>
    <row r="26" spans="2:10" x14ac:dyDescent="0.15">
      <c r="C26" s="775"/>
      <c r="D26" s="775"/>
      <c r="E26" s="775"/>
      <c r="F26" s="775"/>
      <c r="G26" s="776"/>
      <c r="H26" s="775"/>
      <c r="I26" s="775"/>
    </row>
    <row r="27" spans="2:10" x14ac:dyDescent="0.15">
      <c r="C27" s="775"/>
      <c r="D27" s="775"/>
      <c r="E27" s="775"/>
      <c r="F27" s="775"/>
      <c r="G27" s="775"/>
      <c r="H27" s="775"/>
      <c r="I27" s="775"/>
    </row>
    <row r="28" spans="2:10" x14ac:dyDescent="0.15">
      <c r="C28" s="775"/>
      <c r="D28" s="776"/>
      <c r="E28" s="775"/>
      <c r="F28" s="775"/>
      <c r="G28" s="775"/>
      <c r="H28" s="775"/>
    </row>
    <row r="29" spans="2:10" x14ac:dyDescent="0.15">
      <c r="C29" s="775"/>
      <c r="D29" s="775"/>
      <c r="E29" s="775"/>
      <c r="F29" s="775"/>
      <c r="G29" s="775"/>
      <c r="H29" s="775"/>
    </row>
    <row r="30" spans="2:10" x14ac:dyDescent="0.15">
      <c r="C30" s="775"/>
      <c r="D30" s="775"/>
      <c r="E30" s="775"/>
      <c r="F30" s="775"/>
      <c r="G30" s="775"/>
      <c r="H30" s="775"/>
    </row>
    <row r="41" spans="3:3" x14ac:dyDescent="0.15">
      <c r="C41" s="777"/>
    </row>
  </sheetData>
  <sheetProtection sheet="1" objects="1" scenarios="1"/>
  <mergeCells count="1">
    <mergeCell ref="G24:H24"/>
  </mergeCells>
  <phoneticPr fontId="3"/>
  <printOptions horizontalCentered="1"/>
  <pageMargins left="0.78740157480314965" right="0.78740157480314965" top="0.98425196850393704" bottom="0.98425196850393704" header="0.51181102362204722" footer="0.51181102362204722"/>
  <pageSetup paperSize="9" orientation="portrait" r:id="rId1"/>
  <headerFooter alignWithMargins="0">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00238-231D-4B43-A66D-004C6673DA22}">
  <sheetPr>
    <tabColor rgb="FFFF33CC"/>
  </sheetPr>
  <dimension ref="A1:AM113"/>
  <sheetViews>
    <sheetView showGridLines="0" zoomScale="110" zoomScaleNormal="110" workbookViewId="0">
      <pane xSplit="3" ySplit="9" topLeftCell="D10" activePane="bottomRight" state="frozen"/>
      <selection pane="topRight" activeCell="D1" sqref="D1"/>
      <selection pane="bottomLeft" activeCell="A8" sqref="A8"/>
      <selection pane="bottomRight" activeCell="E2" sqref="E2"/>
    </sheetView>
  </sheetViews>
  <sheetFormatPr defaultRowHeight="14.25" x14ac:dyDescent="0.15"/>
  <cols>
    <col min="1" max="1" width="5.125" style="163" customWidth="1"/>
    <col min="2" max="2" width="4.75" style="163" customWidth="1"/>
    <col min="3" max="3" width="12.625" style="173" customWidth="1"/>
    <col min="4" max="5" width="13.25" style="164" customWidth="1"/>
    <col min="6" max="6" width="10.75" style="164" customWidth="1"/>
    <col min="7" max="8" width="13.25" style="164" customWidth="1"/>
    <col min="9" max="12" width="4.75" style="164" customWidth="1"/>
    <col min="13" max="13" width="10.75" style="165" customWidth="1"/>
    <col min="14" max="15" width="10.75" style="163" customWidth="1"/>
    <col min="16" max="16" width="10.625" style="163" customWidth="1"/>
    <col min="17" max="19" width="10.625" style="175" customWidth="1"/>
    <col min="20" max="20" width="12.25" style="176" customWidth="1"/>
    <col min="21" max="21" width="14.875" style="176" customWidth="1"/>
    <col min="22" max="22" width="12.625" style="176" customWidth="1"/>
    <col min="23" max="24" width="12.625" style="165" customWidth="1"/>
    <col min="25" max="25" width="17.875" style="165" customWidth="1"/>
    <col min="26" max="31" width="12.625" style="165" customWidth="1"/>
    <col min="32" max="33" width="11.625" style="165" customWidth="1"/>
    <col min="34" max="35" width="17.625" style="176" customWidth="1"/>
    <col min="36" max="36" width="14.875" style="176" customWidth="1"/>
    <col min="37" max="38" width="14.125" style="165" customWidth="1"/>
    <col min="39" max="39" width="14.25" style="164" customWidth="1"/>
    <col min="40" max="16384" width="9" style="164"/>
  </cols>
  <sheetData>
    <row r="1" spans="1:39" s="231" customFormat="1" ht="19.5" customHeight="1" thickBot="1" x14ac:dyDescent="0.2">
      <c r="A1" s="230"/>
      <c r="B1" s="230"/>
      <c r="C1" s="230">
        <v>1</v>
      </c>
      <c r="D1" s="230">
        <v>2</v>
      </c>
      <c r="E1" s="230">
        <v>3</v>
      </c>
      <c r="F1" s="230">
        <v>4</v>
      </c>
      <c r="G1" s="230">
        <v>5</v>
      </c>
      <c r="H1" s="230">
        <v>6</v>
      </c>
      <c r="I1" s="230">
        <v>7</v>
      </c>
      <c r="J1" s="230">
        <v>8</v>
      </c>
      <c r="K1" s="230">
        <v>9</v>
      </c>
      <c r="L1" s="230">
        <v>10</v>
      </c>
      <c r="M1" s="230">
        <v>11</v>
      </c>
      <c r="N1" s="230">
        <v>12</v>
      </c>
      <c r="O1" s="230">
        <v>13</v>
      </c>
      <c r="P1" s="230">
        <v>14</v>
      </c>
      <c r="Q1" s="230">
        <v>15</v>
      </c>
      <c r="R1" s="230">
        <v>16</v>
      </c>
      <c r="S1" s="230">
        <v>17</v>
      </c>
      <c r="T1" s="230">
        <v>18</v>
      </c>
      <c r="U1" s="230">
        <v>19</v>
      </c>
      <c r="V1" s="230">
        <v>20</v>
      </c>
      <c r="W1" s="230">
        <v>21</v>
      </c>
      <c r="X1" s="230">
        <v>22</v>
      </c>
      <c r="Y1" s="230">
        <v>23</v>
      </c>
      <c r="Z1" s="230">
        <v>24</v>
      </c>
      <c r="AA1" s="230">
        <v>25</v>
      </c>
      <c r="AB1" s="230">
        <v>26</v>
      </c>
      <c r="AC1" s="230">
        <v>27</v>
      </c>
      <c r="AD1" s="230">
        <v>28</v>
      </c>
      <c r="AE1" s="230">
        <v>29</v>
      </c>
      <c r="AF1" s="230">
        <v>30</v>
      </c>
      <c r="AG1" s="230">
        <v>31</v>
      </c>
      <c r="AH1" s="230">
        <v>32</v>
      </c>
      <c r="AI1" s="230">
        <v>33</v>
      </c>
      <c r="AJ1" s="230">
        <v>34</v>
      </c>
      <c r="AK1" s="230">
        <v>35</v>
      </c>
      <c r="AL1" s="230">
        <v>36</v>
      </c>
      <c r="AM1" s="230"/>
    </row>
    <row r="2" spans="1:39" s="235" customFormat="1" ht="27" customHeight="1" x14ac:dyDescent="0.15">
      <c r="A2" s="232" t="s">
        <v>146</v>
      </c>
      <c r="B2" s="233"/>
      <c r="C2" s="234"/>
      <c r="F2" s="236"/>
      <c r="G2" s="237"/>
      <c r="H2" s="236"/>
      <c r="I2" s="238"/>
      <c r="L2" s="239"/>
      <c r="M2" s="493"/>
      <c r="N2" s="946">
        <v>3</v>
      </c>
      <c r="O2" s="240"/>
      <c r="P2" s="240"/>
      <c r="Q2" s="241"/>
      <c r="R2" s="241"/>
      <c r="S2" s="241"/>
      <c r="T2" s="242"/>
      <c r="U2" s="242"/>
      <c r="V2" s="243"/>
      <c r="W2" s="244"/>
      <c r="X2" s="244"/>
      <c r="Y2" s="244"/>
      <c r="Z2" s="244"/>
      <c r="AA2" s="244"/>
      <c r="AB2" s="244"/>
      <c r="AC2" s="244"/>
      <c r="AD2" s="244"/>
      <c r="AE2" s="244"/>
      <c r="AF2" s="244"/>
      <c r="AG2" s="244"/>
      <c r="AH2" s="242"/>
      <c r="AI2" s="242"/>
      <c r="AJ2" s="242"/>
      <c r="AK2" s="244"/>
      <c r="AL2" s="244"/>
    </row>
    <row r="3" spans="1:39" s="235" customFormat="1" ht="16.5" customHeight="1" thickBot="1" x14ac:dyDescent="0.25">
      <c r="A3" s="233"/>
      <c r="B3" s="233"/>
      <c r="C3" s="234"/>
      <c r="D3" s="245" t="s">
        <v>70</v>
      </c>
      <c r="E3" s="246"/>
      <c r="F3" s="240"/>
      <c r="G3" s="240"/>
      <c r="H3" s="240"/>
      <c r="I3" s="951" t="s">
        <v>71</v>
      </c>
      <c r="J3" s="951"/>
      <c r="K3" s="951"/>
      <c r="L3" s="239"/>
      <c r="M3" s="254"/>
      <c r="N3" s="947"/>
      <c r="O3" s="362"/>
      <c r="P3" s="362"/>
      <c r="Q3" s="362"/>
      <c r="R3" s="362"/>
      <c r="S3" s="362"/>
      <c r="T3" s="362"/>
      <c r="U3" s="247"/>
      <c r="W3" s="249"/>
      <c r="X3" s="249"/>
      <c r="Y3" s="249"/>
      <c r="Z3" s="249"/>
      <c r="AA3" s="249"/>
      <c r="AB3" s="248" t="s">
        <v>27</v>
      </c>
      <c r="AC3" s="249"/>
      <c r="AD3" s="249"/>
      <c r="AE3" s="249"/>
      <c r="AF3" s="249"/>
      <c r="AG3" s="249"/>
      <c r="AH3" s="243"/>
      <c r="AI3" s="243"/>
      <c r="AJ3" s="243"/>
      <c r="AK3" s="249"/>
      <c r="AL3" s="249"/>
    </row>
    <row r="4" spans="1:39" s="235" customFormat="1" ht="16.5" customHeight="1" x14ac:dyDescent="0.2">
      <c r="A4" s="233"/>
      <c r="B4" s="233"/>
      <c r="C4" s="234"/>
      <c r="D4" s="166">
        <f ca="1">NOW()</f>
        <v>45300.443018402781</v>
      </c>
      <c r="F4" s="236"/>
      <c r="G4" s="236"/>
      <c r="H4" s="236"/>
      <c r="I4" s="952">
        <v>45017</v>
      </c>
      <c r="J4" s="953"/>
      <c r="K4" s="954"/>
      <c r="L4" s="239"/>
      <c r="M4" s="254"/>
      <c r="N4" s="467"/>
      <c r="O4" s="255"/>
      <c r="P4" s="255"/>
      <c r="Q4" s="255"/>
      <c r="R4" s="255"/>
      <c r="S4" s="255"/>
      <c r="T4" s="255"/>
      <c r="U4" s="250"/>
      <c r="V4" s="243"/>
      <c r="W4" s="248" t="s">
        <v>27</v>
      </c>
      <c r="X4" s="251"/>
      <c r="Y4" s="251"/>
      <c r="Z4" s="251"/>
      <c r="AA4" s="251"/>
      <c r="AB4" s="249"/>
      <c r="AC4" s="251"/>
      <c r="AD4" s="251"/>
      <c r="AE4" s="251"/>
      <c r="AF4" s="251"/>
      <c r="AG4" s="251"/>
      <c r="AH4" s="243"/>
      <c r="AI4" s="243"/>
      <c r="AJ4" s="252"/>
      <c r="AK4" s="251"/>
      <c r="AL4" s="251"/>
    </row>
    <row r="5" spans="1:39" s="235" customFormat="1" ht="16.5" customHeight="1" x14ac:dyDescent="0.15">
      <c r="A5" s="233"/>
      <c r="B5" s="233"/>
      <c r="C5" s="234"/>
      <c r="D5" s="253"/>
      <c r="E5" s="253"/>
      <c r="F5" s="236"/>
      <c r="G5" s="236"/>
      <c r="H5" s="236"/>
      <c r="I5" s="218"/>
      <c r="J5" s="218"/>
      <c r="K5" s="218"/>
      <c r="L5" s="239"/>
      <c r="M5" s="254"/>
      <c r="N5" s="255"/>
      <c r="O5" s="255"/>
      <c r="P5" s="255"/>
      <c r="Q5" s="255"/>
      <c r="R5" s="255"/>
      <c r="S5" s="255"/>
      <c r="T5" s="255"/>
      <c r="U5" s="250"/>
      <c r="V5" s="256" t="s">
        <v>151</v>
      </c>
      <c r="X5" s="251"/>
      <c r="Y5" s="251"/>
      <c r="Z5" s="251"/>
      <c r="AA5" s="251"/>
      <c r="AB5" s="251"/>
      <c r="AC5" s="251"/>
      <c r="AD5" s="257" t="s">
        <v>258</v>
      </c>
      <c r="AE5" s="249"/>
      <c r="AF5" s="251"/>
      <c r="AG5" s="251"/>
      <c r="AH5" s="243"/>
      <c r="AI5" s="243"/>
      <c r="AJ5" s="252"/>
      <c r="AK5" s="251"/>
      <c r="AL5" s="251"/>
    </row>
    <row r="6" spans="1:39" s="235" customFormat="1" ht="16.5" customHeight="1" x14ac:dyDescent="0.15">
      <c r="A6" s="233"/>
      <c r="B6" s="233"/>
      <c r="C6" s="234"/>
      <c r="D6" s="253"/>
      <c r="E6" s="253"/>
      <c r="F6" s="236"/>
      <c r="G6" s="236"/>
      <c r="H6" s="236"/>
      <c r="I6" s="218"/>
      <c r="J6" s="218"/>
      <c r="K6" s="218"/>
      <c r="L6" s="239"/>
      <c r="M6" s="254"/>
      <c r="N6" s="255"/>
      <c r="O6" s="255"/>
      <c r="P6" s="255"/>
      <c r="Q6" s="255"/>
      <c r="R6" s="255"/>
      <c r="S6" s="255"/>
      <c r="T6" s="255"/>
      <c r="U6" s="250"/>
      <c r="V6" s="258" t="s">
        <v>248</v>
      </c>
      <c r="W6" s="259"/>
      <c r="X6" s="251"/>
      <c r="Y6" s="249"/>
      <c r="Z6" s="260" t="s">
        <v>245</v>
      </c>
      <c r="AA6" s="260"/>
      <c r="AB6" s="251"/>
      <c r="AC6" s="251"/>
      <c r="AD6" s="251"/>
      <c r="AE6" s="260" t="s">
        <v>257</v>
      </c>
      <c r="AF6" s="251"/>
      <c r="AG6" s="251"/>
      <c r="AH6" s="243"/>
      <c r="AI6" s="243"/>
      <c r="AJ6" s="252"/>
      <c r="AK6" s="251"/>
      <c r="AL6" s="251"/>
    </row>
    <row r="7" spans="1:39" s="235" customFormat="1" ht="13.5" customHeight="1" thickBot="1" x14ac:dyDescent="0.2">
      <c r="A7" s="233"/>
      <c r="B7" s="233"/>
      <c r="C7" s="234"/>
      <c r="D7" s="236"/>
      <c r="E7" s="256" t="s">
        <v>151</v>
      </c>
      <c r="F7" s="236"/>
      <c r="G7" s="236"/>
      <c r="H7" s="236"/>
      <c r="I7" s="236"/>
      <c r="J7" s="236"/>
      <c r="K7" s="236"/>
      <c r="L7" s="239"/>
      <c r="M7" s="494"/>
      <c r="N7" s="495"/>
      <c r="O7" s="496"/>
      <c r="P7" s="495"/>
      <c r="Q7" s="261"/>
      <c r="R7" s="497"/>
      <c r="S7" s="497"/>
      <c r="T7" s="247"/>
      <c r="U7" s="247"/>
      <c r="V7" s="262" t="s">
        <v>259</v>
      </c>
      <c r="W7" s="263"/>
      <c r="X7" s="264"/>
      <c r="Y7" s="264"/>
      <c r="Z7" s="264"/>
      <c r="AA7" s="264"/>
      <c r="AB7" s="264"/>
      <c r="AC7" s="264"/>
      <c r="AD7" s="265" t="s">
        <v>246</v>
      </c>
      <c r="AE7" s="249"/>
      <c r="AF7" s="266"/>
      <c r="AG7" s="266"/>
      <c r="AH7" s="247"/>
      <c r="AI7" s="247"/>
      <c r="AJ7" s="243"/>
      <c r="AK7" s="266"/>
      <c r="AL7" s="266"/>
      <c r="AM7" s="267"/>
    </row>
    <row r="8" spans="1:39" s="235" customFormat="1" ht="15.75" customHeight="1" thickBot="1" x14ac:dyDescent="0.2">
      <c r="A8" s="955" t="s">
        <v>72</v>
      </c>
      <c r="B8" s="268" t="s">
        <v>73</v>
      </c>
      <c r="C8" s="957" t="s">
        <v>152</v>
      </c>
      <c r="D8" s="959" t="s">
        <v>153</v>
      </c>
      <c r="E8" s="937" t="s">
        <v>154</v>
      </c>
      <c r="F8" s="960" t="s">
        <v>69</v>
      </c>
      <c r="G8" s="959" t="s">
        <v>155</v>
      </c>
      <c r="H8" s="960" t="s">
        <v>78</v>
      </c>
      <c r="I8" s="962" t="s">
        <v>19</v>
      </c>
      <c r="J8" s="963"/>
      <c r="K8" s="963" t="s">
        <v>74</v>
      </c>
      <c r="L8" s="963"/>
      <c r="M8" s="938" t="s">
        <v>156</v>
      </c>
      <c r="N8" s="959" t="s">
        <v>157</v>
      </c>
      <c r="O8" s="937" t="s">
        <v>289</v>
      </c>
      <c r="P8" s="937" t="s">
        <v>290</v>
      </c>
      <c r="Q8" s="948" t="s">
        <v>47</v>
      </c>
      <c r="R8" s="949"/>
      <c r="S8" s="950"/>
      <c r="T8" s="939" t="s">
        <v>358</v>
      </c>
      <c r="U8" s="939"/>
      <c r="V8" s="273" t="s">
        <v>249</v>
      </c>
      <c r="W8" s="274"/>
      <c r="X8" s="275"/>
      <c r="Y8" s="275"/>
      <c r="Z8" s="275"/>
      <c r="AA8" s="275"/>
      <c r="AB8" s="275"/>
      <c r="AC8" s="275"/>
      <c r="AD8" s="275"/>
      <c r="AE8" s="275" t="s">
        <v>246</v>
      </c>
      <c r="AF8" s="940" t="s">
        <v>250</v>
      </c>
      <c r="AG8" s="942" t="s">
        <v>251</v>
      </c>
      <c r="AH8" s="944" t="s">
        <v>247</v>
      </c>
      <c r="AI8" s="932" t="s">
        <v>80</v>
      </c>
      <c r="AJ8" s="934" t="s">
        <v>164</v>
      </c>
      <c r="AK8" s="935"/>
      <c r="AL8" s="936"/>
    </row>
    <row r="9" spans="1:39" s="235" customFormat="1" ht="28.5" customHeight="1" thickBot="1" x14ac:dyDescent="0.2">
      <c r="A9" s="956"/>
      <c r="B9" s="276" t="s">
        <v>75</v>
      </c>
      <c r="C9" s="958"/>
      <c r="D9" s="960"/>
      <c r="E9" s="961"/>
      <c r="F9" s="960"/>
      <c r="G9" s="960"/>
      <c r="H9" s="960"/>
      <c r="I9" s="270" t="s">
        <v>76</v>
      </c>
      <c r="J9" s="271" t="s">
        <v>77</v>
      </c>
      <c r="K9" s="271" t="s">
        <v>76</v>
      </c>
      <c r="L9" s="271" t="s">
        <v>77</v>
      </c>
      <c r="M9" s="960"/>
      <c r="N9" s="960"/>
      <c r="O9" s="938"/>
      <c r="P9" s="938"/>
      <c r="Q9" s="357" t="s">
        <v>292</v>
      </c>
      <c r="R9" s="357" t="s">
        <v>291</v>
      </c>
      <c r="S9" s="357" t="s">
        <v>287</v>
      </c>
      <c r="T9" s="272" t="s">
        <v>100</v>
      </c>
      <c r="U9" s="277" t="s">
        <v>101</v>
      </c>
      <c r="V9" s="529" t="s">
        <v>103</v>
      </c>
      <c r="W9" s="530"/>
      <c r="X9" s="526" t="s">
        <v>241</v>
      </c>
      <c r="Y9" s="527" t="s">
        <v>244</v>
      </c>
      <c r="Z9" s="527" t="s">
        <v>243</v>
      </c>
      <c r="AA9" s="527" t="s">
        <v>242</v>
      </c>
      <c r="AB9" s="527" t="s">
        <v>239</v>
      </c>
      <c r="AC9" s="527" t="s">
        <v>240</v>
      </c>
      <c r="AD9" s="528"/>
      <c r="AE9" s="531" t="s">
        <v>99</v>
      </c>
      <c r="AF9" s="941"/>
      <c r="AG9" s="943"/>
      <c r="AH9" s="945"/>
      <c r="AI9" s="933"/>
      <c r="AJ9" s="269" t="s">
        <v>149</v>
      </c>
      <c r="AK9" s="269" t="s">
        <v>150</v>
      </c>
      <c r="AL9" s="271" t="s">
        <v>159</v>
      </c>
    </row>
    <row r="10" spans="1:39" s="169" customFormat="1" ht="20.100000000000001" customHeight="1" x14ac:dyDescent="0.15">
      <c r="A10" s="167">
        <f>IF(D10="","",A9+1)</f>
        <v>1</v>
      </c>
      <c r="B10" s="158">
        <v>1</v>
      </c>
      <c r="C10" s="182">
        <v>101</v>
      </c>
      <c r="D10" s="183" t="s">
        <v>351</v>
      </c>
      <c r="E10" s="183" t="s">
        <v>125</v>
      </c>
      <c r="F10" s="184"/>
      <c r="G10" s="185">
        <v>33785</v>
      </c>
      <c r="H10" s="185">
        <v>42070</v>
      </c>
      <c r="I10" s="186">
        <f>IF(G10="","",DATEDIF(G10-1,$I$4,"Y"))</f>
        <v>30</v>
      </c>
      <c r="J10" s="186">
        <f t="shared" ref="J10:J73" si="0">IF(G10="","",DATEDIF(G10-1,$I$4,"YM"))</f>
        <v>9</v>
      </c>
      <c r="K10" s="186">
        <f t="shared" ref="K10:K73" si="1">IF(H10="","",DATEDIF(H10-1,$I$4,"Y"))</f>
        <v>8</v>
      </c>
      <c r="L10" s="186">
        <f t="shared" ref="L10:L73" si="2">IF(H10="","",DATEDIF(H10-1,$I$4,"YM"))</f>
        <v>0</v>
      </c>
      <c r="M10" s="168">
        <v>5</v>
      </c>
      <c r="N10" s="196">
        <v>6</v>
      </c>
      <c r="O10" s="225">
        <f t="shared" ref="O10:O74" si="3">IF($C10="","",$M10*$N10)</f>
        <v>30</v>
      </c>
      <c r="P10" s="226">
        <f t="shared" ref="P10:P74" si="4">IF($O10="","",365/7*$O10)</f>
        <v>1564.2857142857144</v>
      </c>
      <c r="Q10" s="177">
        <v>1070</v>
      </c>
      <c r="R10" s="359">
        <v>30</v>
      </c>
      <c r="S10" s="363">
        <f>IF($Q10="","",$Q10+$R10)</f>
        <v>1100</v>
      </c>
      <c r="T10" s="227">
        <f>IF($Q10="","",$P10*$Q10)</f>
        <v>1673785.7142857146</v>
      </c>
      <c r="U10" s="364">
        <f>IF($Q10="","",$T10/12)</f>
        <v>139482.14285714287</v>
      </c>
      <c r="V10" s="368"/>
      <c r="W10" s="369"/>
      <c r="X10" s="366">
        <v>2500</v>
      </c>
      <c r="Y10" s="355"/>
      <c r="Z10" s="355"/>
      <c r="AA10" s="355"/>
      <c r="AB10" s="355"/>
      <c r="AC10" s="355"/>
      <c r="AD10" s="369"/>
      <c r="AE10" s="377">
        <v>2000</v>
      </c>
      <c r="AF10" s="536">
        <f>IF($Q10="","",SUM($U10:$W10))</f>
        <v>139482.14285714287</v>
      </c>
      <c r="AG10" s="534">
        <f>IF($Q10="","",SUM($U10:$AD10))</f>
        <v>141982.14285714287</v>
      </c>
      <c r="AH10" s="532">
        <f>IF($Q10="","",SUM($U10:$AE10))</f>
        <v>143982.14285714287</v>
      </c>
      <c r="AI10" s="227">
        <f>IF($C10="","",VLOOKUP($AH10,'3-1.標準報酬月額・保険料表'!$N$8:$O$57,2,TRUE))</f>
        <v>142000</v>
      </c>
      <c r="AJ10" s="168">
        <v>50000</v>
      </c>
      <c r="AK10" s="168">
        <v>75000</v>
      </c>
      <c r="AL10" s="227">
        <f>IF($AJ10+$AK10=0,0,AJ10+$AK10)</f>
        <v>125000</v>
      </c>
    </row>
    <row r="11" spans="1:39" s="169" customFormat="1" ht="20.100000000000001" customHeight="1" x14ac:dyDescent="0.15">
      <c r="A11" s="170">
        <f t="shared" ref="A11:A74" si="5">IF(D11="","",A10+1)</f>
        <v>2</v>
      </c>
      <c r="B11" s="159">
        <v>1</v>
      </c>
      <c r="C11" s="47">
        <v>102</v>
      </c>
      <c r="D11" s="160" t="s">
        <v>352</v>
      </c>
      <c r="E11" s="160" t="s">
        <v>125</v>
      </c>
      <c r="F11" s="161"/>
      <c r="G11" s="162">
        <v>35397</v>
      </c>
      <c r="H11" s="162">
        <v>42787</v>
      </c>
      <c r="I11" s="171">
        <f>IF(G11="","",DATEDIF(G11-1,$I$4,"Y"))</f>
        <v>26</v>
      </c>
      <c r="J11" s="171">
        <f t="shared" si="0"/>
        <v>4</v>
      </c>
      <c r="K11" s="171">
        <f t="shared" si="1"/>
        <v>6</v>
      </c>
      <c r="L11" s="171">
        <f t="shared" si="2"/>
        <v>1</v>
      </c>
      <c r="M11" s="172">
        <v>5</v>
      </c>
      <c r="N11" s="197">
        <v>4</v>
      </c>
      <c r="O11" s="225">
        <f t="shared" si="3"/>
        <v>20</v>
      </c>
      <c r="P11" s="226">
        <f t="shared" si="4"/>
        <v>1042.8571428571429</v>
      </c>
      <c r="Q11" s="354">
        <v>1000</v>
      </c>
      <c r="R11" s="354">
        <v>40</v>
      </c>
      <c r="S11" s="358">
        <f>IF($Q11="","",$Q11+$R11)</f>
        <v>1040</v>
      </c>
      <c r="T11" s="228">
        <f t="shared" ref="T11:T74" si="6">IF($Q11="","",$P11*$Q11)</f>
        <v>1042857.1428571428</v>
      </c>
      <c r="U11" s="365">
        <f t="shared" ref="U11:U74" si="7">IF($Q11="","",$T11/12)</f>
        <v>86904.761904761908</v>
      </c>
      <c r="V11" s="370"/>
      <c r="W11" s="371"/>
      <c r="X11" s="367">
        <v>2000</v>
      </c>
      <c r="Y11" s="352"/>
      <c r="Z11" s="352"/>
      <c r="AA11" s="352"/>
      <c r="AB11" s="352"/>
      <c r="AC11" s="352"/>
      <c r="AD11" s="371"/>
      <c r="AE11" s="378">
        <v>2000</v>
      </c>
      <c r="AF11" s="537">
        <f t="shared" ref="AF11:AF74" si="8">IF($Q11="","",SUM($U11:$W11))</f>
        <v>86904.761904761908</v>
      </c>
      <c r="AG11" s="535">
        <f>IF($Q11="","",SUM($U11:$AD11))</f>
        <v>88904.761904761908</v>
      </c>
      <c r="AH11" s="533">
        <f t="shared" ref="AH11:AH74" si="9">IF($Q11="","",SUM($U11:$AE11))</f>
        <v>90904.761904761908</v>
      </c>
      <c r="AI11" s="228">
        <f>IF($C11="","",VLOOKUP($AH11,'3-1.標準報酬月額・保険料表'!$N$8:$O$57,2,TRUE))</f>
        <v>88000</v>
      </c>
      <c r="AJ11" s="172"/>
      <c r="AK11" s="172"/>
      <c r="AL11" s="228">
        <f t="shared" ref="AL11:AL73" si="10">IF($AJ11+$AK11=0,0,AJ11+$AK11)</f>
        <v>0</v>
      </c>
    </row>
    <row r="12" spans="1:39" s="169" customFormat="1" ht="20.100000000000001" customHeight="1" x14ac:dyDescent="0.15">
      <c r="A12" s="170">
        <f t="shared" si="5"/>
        <v>3</v>
      </c>
      <c r="B12" s="159">
        <v>2</v>
      </c>
      <c r="C12" s="47">
        <v>103</v>
      </c>
      <c r="D12" s="160" t="s">
        <v>353</v>
      </c>
      <c r="E12" s="160" t="s">
        <v>136</v>
      </c>
      <c r="F12" s="161"/>
      <c r="G12" s="162">
        <v>31236</v>
      </c>
      <c r="H12" s="162">
        <v>39520</v>
      </c>
      <c r="I12" s="171">
        <f t="shared" ref="I12:I75" si="11">IF(G12="","",DATEDIF(G12-1,$I$4,"Y"))</f>
        <v>37</v>
      </c>
      <c r="J12" s="171">
        <f t="shared" si="0"/>
        <v>8</v>
      </c>
      <c r="K12" s="171">
        <f t="shared" si="1"/>
        <v>15</v>
      </c>
      <c r="L12" s="171">
        <f t="shared" si="2"/>
        <v>0</v>
      </c>
      <c r="M12" s="172">
        <v>4</v>
      </c>
      <c r="N12" s="197">
        <v>4</v>
      </c>
      <c r="O12" s="225">
        <f t="shared" si="3"/>
        <v>16</v>
      </c>
      <c r="P12" s="226">
        <f t="shared" si="4"/>
        <v>834.28571428571433</v>
      </c>
      <c r="Q12" s="354">
        <v>960</v>
      </c>
      <c r="R12" s="354">
        <v>40</v>
      </c>
      <c r="S12" s="358">
        <f t="shared" ref="S12:S74" si="12">IF($Q12="","",$Q12+$R12)</f>
        <v>1000</v>
      </c>
      <c r="T12" s="228">
        <f>IF($Q12="","",$P12*$Q12)</f>
        <v>800914.2857142858</v>
      </c>
      <c r="U12" s="365">
        <f t="shared" si="7"/>
        <v>66742.857142857145</v>
      </c>
      <c r="V12" s="372"/>
      <c r="W12" s="371"/>
      <c r="X12" s="367">
        <v>2000</v>
      </c>
      <c r="Y12" s="352"/>
      <c r="Z12" s="352"/>
      <c r="AA12" s="352"/>
      <c r="AB12" s="352"/>
      <c r="AC12" s="352"/>
      <c r="AD12" s="371"/>
      <c r="AE12" s="378">
        <v>2500</v>
      </c>
      <c r="AF12" s="537">
        <f t="shared" si="8"/>
        <v>66742.857142857145</v>
      </c>
      <c r="AG12" s="535">
        <f t="shared" ref="AG12:AG74" si="13">IF($Q12="","",SUM($U12:$AD12))</f>
        <v>68742.857142857145</v>
      </c>
      <c r="AH12" s="533">
        <f t="shared" si="9"/>
        <v>71242.857142857145</v>
      </c>
      <c r="AI12" s="228">
        <f>IF($C12="","",VLOOKUP($AH12,'3-1.標準報酬月額・保険料表'!$N$8:$O$57,2,TRUE))</f>
        <v>68000</v>
      </c>
      <c r="AJ12" s="172"/>
      <c r="AK12" s="172"/>
      <c r="AL12" s="228">
        <f t="shared" si="10"/>
        <v>0</v>
      </c>
    </row>
    <row r="13" spans="1:39" s="169" customFormat="1" ht="20.100000000000001" customHeight="1" x14ac:dyDescent="0.15">
      <c r="A13" s="170">
        <f t="shared" si="5"/>
        <v>4</v>
      </c>
      <c r="B13" s="347">
        <v>1</v>
      </c>
      <c r="C13" s="348">
        <v>104</v>
      </c>
      <c r="D13" s="349" t="s">
        <v>354</v>
      </c>
      <c r="E13" s="349" t="s">
        <v>136</v>
      </c>
      <c r="F13" s="350"/>
      <c r="G13" s="351">
        <v>29870</v>
      </c>
      <c r="H13" s="351">
        <v>41345</v>
      </c>
      <c r="I13" s="171">
        <f t="shared" si="11"/>
        <v>41</v>
      </c>
      <c r="J13" s="171">
        <f t="shared" si="0"/>
        <v>5</v>
      </c>
      <c r="K13" s="171">
        <f t="shared" si="1"/>
        <v>10</v>
      </c>
      <c r="L13" s="171">
        <f t="shared" si="2"/>
        <v>0</v>
      </c>
      <c r="M13" s="172">
        <v>5</v>
      </c>
      <c r="N13" s="197">
        <v>4.75</v>
      </c>
      <c r="O13" s="225">
        <f t="shared" si="3"/>
        <v>23.75</v>
      </c>
      <c r="P13" s="226">
        <f t="shared" si="4"/>
        <v>1238.3928571428571</v>
      </c>
      <c r="Q13" s="354">
        <v>980</v>
      </c>
      <c r="R13" s="354">
        <v>30</v>
      </c>
      <c r="S13" s="358">
        <f t="shared" si="12"/>
        <v>1010</v>
      </c>
      <c r="T13" s="228">
        <f t="shared" si="6"/>
        <v>1213625</v>
      </c>
      <c r="U13" s="365">
        <f t="shared" si="7"/>
        <v>101135.41666666667</v>
      </c>
      <c r="V13" s="372"/>
      <c r="W13" s="371"/>
      <c r="X13" s="367">
        <v>2000</v>
      </c>
      <c r="Y13" s="352">
        <v>5000</v>
      </c>
      <c r="Z13" s="352"/>
      <c r="AA13" s="352"/>
      <c r="AB13" s="352"/>
      <c r="AC13" s="352"/>
      <c r="AD13" s="371"/>
      <c r="AE13" s="378">
        <v>2500</v>
      </c>
      <c r="AF13" s="537">
        <f t="shared" si="8"/>
        <v>101135.41666666667</v>
      </c>
      <c r="AG13" s="535">
        <f t="shared" si="13"/>
        <v>108135.41666666667</v>
      </c>
      <c r="AH13" s="533">
        <f t="shared" si="9"/>
        <v>110635.41666666667</v>
      </c>
      <c r="AI13" s="228">
        <f>IF($C13="","",VLOOKUP($AH13,'3-1.標準報酬月額・保険料表'!$N$8:$O$57,2,TRUE))</f>
        <v>110000</v>
      </c>
      <c r="AJ13" s="172">
        <v>30000</v>
      </c>
      <c r="AK13" s="172">
        <v>30000</v>
      </c>
      <c r="AL13" s="228">
        <f t="shared" si="10"/>
        <v>60000</v>
      </c>
    </row>
    <row r="14" spans="1:39" s="169" customFormat="1" ht="20.100000000000001" customHeight="1" x14ac:dyDescent="0.15">
      <c r="A14" s="170">
        <f t="shared" si="5"/>
        <v>5</v>
      </c>
      <c r="B14" s="347">
        <v>2</v>
      </c>
      <c r="C14" s="348">
        <v>105</v>
      </c>
      <c r="D14" s="349" t="s">
        <v>355</v>
      </c>
      <c r="E14" s="349" t="s">
        <v>137</v>
      </c>
      <c r="F14" s="350"/>
      <c r="G14" s="351">
        <v>34715</v>
      </c>
      <c r="H14" s="351">
        <v>42125</v>
      </c>
      <c r="I14" s="171">
        <f t="shared" si="11"/>
        <v>28</v>
      </c>
      <c r="J14" s="171">
        <f t="shared" si="0"/>
        <v>2</v>
      </c>
      <c r="K14" s="171">
        <f t="shared" si="1"/>
        <v>7</v>
      </c>
      <c r="L14" s="171">
        <f t="shared" si="2"/>
        <v>11</v>
      </c>
      <c r="M14" s="172">
        <v>5</v>
      </c>
      <c r="N14" s="197">
        <v>7</v>
      </c>
      <c r="O14" s="225">
        <f t="shared" si="3"/>
        <v>35</v>
      </c>
      <c r="P14" s="226">
        <f t="shared" si="4"/>
        <v>1825</v>
      </c>
      <c r="Q14" s="354">
        <v>980</v>
      </c>
      <c r="R14" s="354">
        <v>40</v>
      </c>
      <c r="S14" s="358">
        <f t="shared" si="12"/>
        <v>1020</v>
      </c>
      <c r="T14" s="228">
        <f t="shared" si="6"/>
        <v>1788500</v>
      </c>
      <c r="U14" s="365">
        <f t="shared" si="7"/>
        <v>149041.66666666666</v>
      </c>
      <c r="V14" s="372"/>
      <c r="W14" s="371"/>
      <c r="X14" s="367"/>
      <c r="Y14" s="352"/>
      <c r="Z14" s="352"/>
      <c r="AA14" s="352"/>
      <c r="AB14" s="352"/>
      <c r="AC14" s="352"/>
      <c r="AD14" s="371"/>
      <c r="AE14" s="378"/>
      <c r="AF14" s="537">
        <f t="shared" si="8"/>
        <v>149041.66666666666</v>
      </c>
      <c r="AG14" s="535">
        <f t="shared" si="13"/>
        <v>149041.66666666666</v>
      </c>
      <c r="AH14" s="533">
        <f t="shared" si="9"/>
        <v>149041.66666666666</v>
      </c>
      <c r="AI14" s="228">
        <f>IF($C14="","",VLOOKUP($AH14,'3-1.標準報酬月額・保険料表'!$N$8:$O$57,2,TRUE))</f>
        <v>150000</v>
      </c>
      <c r="AJ14" s="172">
        <v>50000</v>
      </c>
      <c r="AK14" s="172">
        <v>70000</v>
      </c>
      <c r="AL14" s="229">
        <f t="shared" si="10"/>
        <v>120000</v>
      </c>
    </row>
    <row r="15" spans="1:39" s="169" customFormat="1" ht="20.100000000000001" customHeight="1" x14ac:dyDescent="0.15">
      <c r="A15" s="170" t="str">
        <f t="shared" si="5"/>
        <v/>
      </c>
      <c r="B15" s="347"/>
      <c r="C15" s="348"/>
      <c r="D15" s="349"/>
      <c r="E15" s="349"/>
      <c r="F15" s="350"/>
      <c r="G15" s="351"/>
      <c r="H15" s="351"/>
      <c r="I15" s="171" t="str">
        <f t="shared" si="11"/>
        <v/>
      </c>
      <c r="J15" s="171" t="str">
        <f t="shared" si="0"/>
        <v/>
      </c>
      <c r="K15" s="171" t="str">
        <f t="shared" si="1"/>
        <v/>
      </c>
      <c r="L15" s="171" t="str">
        <f t="shared" si="2"/>
        <v/>
      </c>
      <c r="M15" s="352"/>
      <c r="N15" s="353"/>
      <c r="O15" s="225" t="str">
        <f t="shared" si="3"/>
        <v/>
      </c>
      <c r="P15" s="226" t="str">
        <f t="shared" si="4"/>
        <v/>
      </c>
      <c r="Q15" s="354"/>
      <c r="R15" s="354"/>
      <c r="S15" s="354" t="str">
        <f t="shared" si="12"/>
        <v/>
      </c>
      <c r="T15" s="228" t="str">
        <f t="shared" si="6"/>
        <v/>
      </c>
      <c r="U15" s="365" t="str">
        <f t="shared" si="7"/>
        <v/>
      </c>
      <c r="V15" s="372"/>
      <c r="W15" s="371"/>
      <c r="X15" s="367"/>
      <c r="Y15" s="352"/>
      <c r="Z15" s="355"/>
      <c r="AA15" s="352"/>
      <c r="AB15" s="352"/>
      <c r="AC15" s="352"/>
      <c r="AD15" s="371"/>
      <c r="AE15" s="378"/>
      <c r="AF15" s="537" t="str">
        <f t="shared" si="8"/>
        <v/>
      </c>
      <c r="AG15" s="535" t="str">
        <f t="shared" si="13"/>
        <v/>
      </c>
      <c r="AH15" s="533" t="str">
        <f t="shared" si="9"/>
        <v/>
      </c>
      <c r="AI15" s="228" t="str">
        <f>IF($C15="","",VLOOKUP($AH15,'3-1.標準報酬月額・保険料表'!$N$8:$O$57,2,TRUE))</f>
        <v/>
      </c>
      <c r="AJ15" s="172"/>
      <c r="AK15" s="172"/>
      <c r="AL15" s="228">
        <f t="shared" si="10"/>
        <v>0</v>
      </c>
    </row>
    <row r="16" spans="1:39" s="169" customFormat="1" ht="20.100000000000001" customHeight="1" x14ac:dyDescent="0.15">
      <c r="A16" s="170" t="str">
        <f>IF(D16="","",A15+1)</f>
        <v/>
      </c>
      <c r="B16" s="347"/>
      <c r="C16" s="348"/>
      <c r="D16" s="349"/>
      <c r="E16" s="349"/>
      <c r="F16" s="350"/>
      <c r="G16" s="351"/>
      <c r="H16" s="351"/>
      <c r="I16" s="171" t="str">
        <f t="shared" si="11"/>
        <v/>
      </c>
      <c r="J16" s="171" t="str">
        <f t="shared" si="0"/>
        <v/>
      </c>
      <c r="K16" s="171" t="str">
        <f t="shared" si="1"/>
        <v/>
      </c>
      <c r="L16" s="171" t="str">
        <f t="shared" si="2"/>
        <v/>
      </c>
      <c r="M16" s="352"/>
      <c r="N16" s="353"/>
      <c r="O16" s="225" t="str">
        <f t="shared" si="3"/>
        <v/>
      </c>
      <c r="P16" s="226" t="str">
        <f t="shared" si="4"/>
        <v/>
      </c>
      <c r="Q16" s="354"/>
      <c r="R16" s="354"/>
      <c r="S16" s="354" t="str">
        <f t="shared" si="12"/>
        <v/>
      </c>
      <c r="T16" s="228" t="str">
        <f t="shared" si="6"/>
        <v/>
      </c>
      <c r="U16" s="365" t="str">
        <f t="shared" si="7"/>
        <v/>
      </c>
      <c r="V16" s="372"/>
      <c r="W16" s="371"/>
      <c r="X16" s="367"/>
      <c r="Y16" s="352"/>
      <c r="Z16" s="352"/>
      <c r="AA16" s="352"/>
      <c r="AB16" s="352"/>
      <c r="AC16" s="352"/>
      <c r="AD16" s="371"/>
      <c r="AE16" s="378"/>
      <c r="AF16" s="537" t="str">
        <f t="shared" si="8"/>
        <v/>
      </c>
      <c r="AG16" s="535" t="str">
        <f t="shared" si="13"/>
        <v/>
      </c>
      <c r="AH16" s="533" t="str">
        <f t="shared" si="9"/>
        <v/>
      </c>
      <c r="AI16" s="228" t="str">
        <f>IF($C16="","",VLOOKUP($AH16,'3-1.標準報酬月額・保険料表'!$N$8:$O$57,2,TRUE))</f>
        <v/>
      </c>
      <c r="AJ16" s="172"/>
      <c r="AK16" s="172"/>
      <c r="AL16" s="228">
        <f t="shared" si="10"/>
        <v>0</v>
      </c>
    </row>
    <row r="17" spans="1:38" s="169" customFormat="1" ht="20.100000000000001" customHeight="1" x14ac:dyDescent="0.15">
      <c r="A17" s="170" t="str">
        <f t="shared" si="5"/>
        <v/>
      </c>
      <c r="B17" s="347"/>
      <c r="C17" s="348"/>
      <c r="D17" s="349"/>
      <c r="E17" s="349"/>
      <c r="F17" s="350"/>
      <c r="G17" s="351"/>
      <c r="H17" s="351"/>
      <c r="I17" s="171" t="str">
        <f t="shared" si="11"/>
        <v/>
      </c>
      <c r="J17" s="171" t="str">
        <f t="shared" si="0"/>
        <v/>
      </c>
      <c r="K17" s="171" t="str">
        <f t="shared" si="1"/>
        <v/>
      </c>
      <c r="L17" s="171" t="str">
        <f t="shared" si="2"/>
        <v/>
      </c>
      <c r="M17" s="352"/>
      <c r="N17" s="353"/>
      <c r="O17" s="225" t="str">
        <f t="shared" si="3"/>
        <v/>
      </c>
      <c r="P17" s="226" t="str">
        <f t="shared" si="4"/>
        <v/>
      </c>
      <c r="Q17" s="354"/>
      <c r="R17" s="354"/>
      <c r="S17" s="354" t="str">
        <f t="shared" si="12"/>
        <v/>
      </c>
      <c r="T17" s="228" t="str">
        <f t="shared" si="6"/>
        <v/>
      </c>
      <c r="U17" s="365" t="str">
        <f t="shared" si="7"/>
        <v/>
      </c>
      <c r="V17" s="372"/>
      <c r="W17" s="371"/>
      <c r="X17" s="367"/>
      <c r="Y17" s="352"/>
      <c r="Z17" s="352"/>
      <c r="AA17" s="352"/>
      <c r="AB17" s="352"/>
      <c r="AC17" s="352"/>
      <c r="AD17" s="371"/>
      <c r="AE17" s="378"/>
      <c r="AF17" s="537" t="str">
        <f t="shared" si="8"/>
        <v/>
      </c>
      <c r="AG17" s="535" t="str">
        <f t="shared" si="13"/>
        <v/>
      </c>
      <c r="AH17" s="533" t="str">
        <f t="shared" si="9"/>
        <v/>
      </c>
      <c r="AI17" s="228" t="str">
        <f>IF($C17="","",VLOOKUP($AH17,'3-1.標準報酬月額・保険料表'!$N$8:$O$57,2,TRUE))</f>
        <v/>
      </c>
      <c r="AJ17" s="172"/>
      <c r="AK17" s="172"/>
      <c r="AL17" s="228">
        <f t="shared" si="10"/>
        <v>0</v>
      </c>
    </row>
    <row r="18" spans="1:38" s="169" customFormat="1" ht="20.100000000000001" customHeight="1" x14ac:dyDescent="0.15">
      <c r="A18" s="170" t="str">
        <f t="shared" si="5"/>
        <v/>
      </c>
      <c r="B18" s="347"/>
      <c r="C18" s="348"/>
      <c r="D18" s="349"/>
      <c r="E18" s="349"/>
      <c r="F18" s="350"/>
      <c r="G18" s="351"/>
      <c r="H18" s="351"/>
      <c r="I18" s="171" t="str">
        <f t="shared" si="11"/>
        <v/>
      </c>
      <c r="J18" s="171" t="str">
        <f t="shared" si="0"/>
        <v/>
      </c>
      <c r="K18" s="171" t="str">
        <f t="shared" si="1"/>
        <v/>
      </c>
      <c r="L18" s="171" t="str">
        <f t="shared" si="2"/>
        <v/>
      </c>
      <c r="M18" s="352"/>
      <c r="N18" s="353"/>
      <c r="O18" s="225" t="str">
        <f t="shared" si="3"/>
        <v/>
      </c>
      <c r="P18" s="226" t="str">
        <f t="shared" si="4"/>
        <v/>
      </c>
      <c r="Q18" s="354"/>
      <c r="R18" s="354"/>
      <c r="S18" s="354" t="str">
        <f t="shared" si="12"/>
        <v/>
      </c>
      <c r="T18" s="228" t="str">
        <f t="shared" si="6"/>
        <v/>
      </c>
      <c r="U18" s="365" t="str">
        <f t="shared" si="7"/>
        <v/>
      </c>
      <c r="V18" s="372"/>
      <c r="W18" s="371"/>
      <c r="X18" s="367"/>
      <c r="Y18" s="352"/>
      <c r="Z18" s="352"/>
      <c r="AA18" s="352"/>
      <c r="AB18" s="352"/>
      <c r="AC18" s="352"/>
      <c r="AD18" s="371"/>
      <c r="AE18" s="378"/>
      <c r="AF18" s="537" t="str">
        <f t="shared" si="8"/>
        <v/>
      </c>
      <c r="AG18" s="535" t="str">
        <f t="shared" si="13"/>
        <v/>
      </c>
      <c r="AH18" s="533" t="str">
        <f t="shared" si="9"/>
        <v/>
      </c>
      <c r="AI18" s="228" t="str">
        <f>IF($C18="","",VLOOKUP($AH18,'3-1.標準報酬月額・保険料表'!$N$8:$O$57,2,TRUE))</f>
        <v/>
      </c>
      <c r="AJ18" s="172"/>
      <c r="AK18" s="172"/>
      <c r="AL18" s="228">
        <f t="shared" si="10"/>
        <v>0</v>
      </c>
    </row>
    <row r="19" spans="1:38" s="169" customFormat="1" ht="20.100000000000001" customHeight="1" x14ac:dyDescent="0.15">
      <c r="A19" s="170" t="str">
        <f t="shared" si="5"/>
        <v/>
      </c>
      <c r="B19" s="347"/>
      <c r="C19" s="348"/>
      <c r="D19" s="349"/>
      <c r="E19" s="349"/>
      <c r="F19" s="350"/>
      <c r="G19" s="351"/>
      <c r="H19" s="351"/>
      <c r="I19" s="171" t="str">
        <f t="shared" si="11"/>
        <v/>
      </c>
      <c r="J19" s="171" t="str">
        <f t="shared" si="0"/>
        <v/>
      </c>
      <c r="K19" s="171" t="str">
        <f t="shared" si="1"/>
        <v/>
      </c>
      <c r="L19" s="171" t="str">
        <f t="shared" si="2"/>
        <v/>
      </c>
      <c r="M19" s="352"/>
      <c r="N19" s="353"/>
      <c r="O19" s="225" t="str">
        <f t="shared" si="3"/>
        <v/>
      </c>
      <c r="P19" s="226" t="str">
        <f t="shared" si="4"/>
        <v/>
      </c>
      <c r="Q19" s="354"/>
      <c r="R19" s="354"/>
      <c r="S19" s="354" t="str">
        <f t="shared" si="12"/>
        <v/>
      </c>
      <c r="T19" s="228" t="str">
        <f t="shared" si="6"/>
        <v/>
      </c>
      <c r="U19" s="365" t="str">
        <f t="shared" si="7"/>
        <v/>
      </c>
      <c r="V19" s="372"/>
      <c r="W19" s="371"/>
      <c r="X19" s="367"/>
      <c r="Y19" s="352"/>
      <c r="Z19" s="352"/>
      <c r="AA19" s="352"/>
      <c r="AB19" s="352"/>
      <c r="AC19" s="352"/>
      <c r="AD19" s="371"/>
      <c r="AE19" s="378"/>
      <c r="AF19" s="537" t="str">
        <f t="shared" si="8"/>
        <v/>
      </c>
      <c r="AG19" s="535" t="str">
        <f t="shared" si="13"/>
        <v/>
      </c>
      <c r="AH19" s="533" t="str">
        <f t="shared" si="9"/>
        <v/>
      </c>
      <c r="AI19" s="228" t="str">
        <f>IF($C19="","",VLOOKUP($AH19,'3-1.標準報酬月額・保険料表'!$N$8:$O$57,2,TRUE))</f>
        <v/>
      </c>
      <c r="AJ19" s="172"/>
      <c r="AK19" s="172"/>
      <c r="AL19" s="228">
        <f t="shared" si="10"/>
        <v>0</v>
      </c>
    </row>
    <row r="20" spans="1:38" s="169" customFormat="1" ht="20.100000000000001" customHeight="1" x14ac:dyDescent="0.15">
      <c r="A20" s="170" t="str">
        <f t="shared" si="5"/>
        <v/>
      </c>
      <c r="B20" s="347"/>
      <c r="C20" s="348"/>
      <c r="D20" s="349"/>
      <c r="E20" s="349"/>
      <c r="F20" s="350"/>
      <c r="G20" s="351"/>
      <c r="H20" s="351"/>
      <c r="I20" s="171" t="str">
        <f t="shared" si="11"/>
        <v/>
      </c>
      <c r="J20" s="171" t="str">
        <f t="shared" si="0"/>
        <v/>
      </c>
      <c r="K20" s="171" t="str">
        <f t="shared" si="1"/>
        <v/>
      </c>
      <c r="L20" s="171" t="str">
        <f t="shared" si="2"/>
        <v/>
      </c>
      <c r="M20" s="352"/>
      <c r="N20" s="353"/>
      <c r="O20" s="225" t="str">
        <f t="shared" si="3"/>
        <v/>
      </c>
      <c r="P20" s="226" t="str">
        <f t="shared" si="4"/>
        <v/>
      </c>
      <c r="Q20" s="354"/>
      <c r="R20" s="354"/>
      <c r="S20" s="354" t="str">
        <f t="shared" si="12"/>
        <v/>
      </c>
      <c r="T20" s="228" t="str">
        <f t="shared" si="6"/>
        <v/>
      </c>
      <c r="U20" s="365" t="str">
        <f t="shared" si="7"/>
        <v/>
      </c>
      <c r="V20" s="372"/>
      <c r="W20" s="371"/>
      <c r="X20" s="367"/>
      <c r="Y20" s="352"/>
      <c r="Z20" s="352"/>
      <c r="AA20" s="352"/>
      <c r="AB20" s="352"/>
      <c r="AC20" s="352"/>
      <c r="AD20" s="371"/>
      <c r="AE20" s="378"/>
      <c r="AF20" s="537" t="str">
        <f t="shared" si="8"/>
        <v/>
      </c>
      <c r="AG20" s="535" t="str">
        <f t="shared" si="13"/>
        <v/>
      </c>
      <c r="AH20" s="533" t="str">
        <f t="shared" si="9"/>
        <v/>
      </c>
      <c r="AI20" s="228" t="str">
        <f>IF($C20="","",VLOOKUP($AH20,'3-1.標準報酬月額・保険料表'!$N$8:$O$57,2,TRUE))</f>
        <v/>
      </c>
      <c r="AJ20" s="172"/>
      <c r="AK20" s="172"/>
      <c r="AL20" s="228">
        <f t="shared" si="10"/>
        <v>0</v>
      </c>
    </row>
    <row r="21" spans="1:38" s="169" customFormat="1" ht="20.100000000000001" customHeight="1" x14ac:dyDescent="0.15">
      <c r="A21" s="170" t="str">
        <f t="shared" si="5"/>
        <v/>
      </c>
      <c r="B21" s="347"/>
      <c r="C21" s="348"/>
      <c r="D21" s="349"/>
      <c r="E21" s="349"/>
      <c r="F21" s="350"/>
      <c r="G21" s="351"/>
      <c r="H21" s="351"/>
      <c r="I21" s="171" t="str">
        <f t="shared" si="11"/>
        <v/>
      </c>
      <c r="J21" s="171" t="str">
        <f t="shared" si="0"/>
        <v/>
      </c>
      <c r="K21" s="171" t="str">
        <f t="shared" si="1"/>
        <v/>
      </c>
      <c r="L21" s="171" t="str">
        <f t="shared" si="2"/>
        <v/>
      </c>
      <c r="M21" s="352"/>
      <c r="N21" s="353"/>
      <c r="O21" s="225" t="str">
        <f t="shared" si="3"/>
        <v/>
      </c>
      <c r="P21" s="226" t="str">
        <f t="shared" si="4"/>
        <v/>
      </c>
      <c r="Q21" s="354"/>
      <c r="R21" s="354"/>
      <c r="S21" s="354" t="str">
        <f t="shared" si="12"/>
        <v/>
      </c>
      <c r="T21" s="228" t="str">
        <f t="shared" si="6"/>
        <v/>
      </c>
      <c r="U21" s="365" t="str">
        <f t="shared" si="7"/>
        <v/>
      </c>
      <c r="V21" s="372"/>
      <c r="W21" s="371"/>
      <c r="X21" s="367"/>
      <c r="Y21" s="352"/>
      <c r="Z21" s="352"/>
      <c r="AA21" s="352"/>
      <c r="AB21" s="352"/>
      <c r="AC21" s="352"/>
      <c r="AD21" s="371"/>
      <c r="AE21" s="378"/>
      <c r="AF21" s="537" t="str">
        <f t="shared" si="8"/>
        <v/>
      </c>
      <c r="AG21" s="535" t="str">
        <f t="shared" si="13"/>
        <v/>
      </c>
      <c r="AH21" s="533" t="str">
        <f t="shared" si="9"/>
        <v/>
      </c>
      <c r="AI21" s="228" t="str">
        <f>IF($C21="","",VLOOKUP($AH21,'3-1.標準報酬月額・保険料表'!$N$8:$O$57,2,TRUE))</f>
        <v/>
      </c>
      <c r="AJ21" s="172"/>
      <c r="AK21" s="172"/>
      <c r="AL21" s="228">
        <f t="shared" si="10"/>
        <v>0</v>
      </c>
    </row>
    <row r="22" spans="1:38" s="169" customFormat="1" ht="20.100000000000001" customHeight="1" x14ac:dyDescent="0.15">
      <c r="A22" s="170" t="str">
        <f t="shared" si="5"/>
        <v/>
      </c>
      <c r="B22" s="347"/>
      <c r="C22" s="348"/>
      <c r="D22" s="349"/>
      <c r="E22" s="349"/>
      <c r="F22" s="350"/>
      <c r="G22" s="351"/>
      <c r="H22" s="351"/>
      <c r="I22" s="171" t="str">
        <f t="shared" si="11"/>
        <v/>
      </c>
      <c r="J22" s="171" t="str">
        <f t="shared" si="0"/>
        <v/>
      </c>
      <c r="K22" s="171" t="str">
        <f t="shared" si="1"/>
        <v/>
      </c>
      <c r="L22" s="171" t="str">
        <f t="shared" si="2"/>
        <v/>
      </c>
      <c r="M22" s="352"/>
      <c r="N22" s="353"/>
      <c r="O22" s="225" t="str">
        <f t="shared" si="3"/>
        <v/>
      </c>
      <c r="P22" s="226" t="str">
        <f t="shared" si="4"/>
        <v/>
      </c>
      <c r="Q22" s="354"/>
      <c r="R22" s="354"/>
      <c r="S22" s="354" t="str">
        <f t="shared" si="12"/>
        <v/>
      </c>
      <c r="T22" s="228" t="str">
        <f t="shared" si="6"/>
        <v/>
      </c>
      <c r="U22" s="365" t="str">
        <f t="shared" si="7"/>
        <v/>
      </c>
      <c r="V22" s="372"/>
      <c r="W22" s="371"/>
      <c r="X22" s="367"/>
      <c r="Y22" s="352"/>
      <c r="Z22" s="352"/>
      <c r="AA22" s="352"/>
      <c r="AB22" s="352"/>
      <c r="AC22" s="352"/>
      <c r="AD22" s="371"/>
      <c r="AE22" s="378"/>
      <c r="AF22" s="537" t="str">
        <f t="shared" si="8"/>
        <v/>
      </c>
      <c r="AG22" s="535" t="str">
        <f t="shared" si="13"/>
        <v/>
      </c>
      <c r="AH22" s="533" t="str">
        <f t="shared" si="9"/>
        <v/>
      </c>
      <c r="AI22" s="228" t="str">
        <f>IF($C22="","",VLOOKUP($AH22,'3-1.標準報酬月額・保険料表'!$N$8:$O$57,2,TRUE))</f>
        <v/>
      </c>
      <c r="AJ22" s="172"/>
      <c r="AK22" s="172"/>
      <c r="AL22" s="228">
        <f t="shared" si="10"/>
        <v>0</v>
      </c>
    </row>
    <row r="23" spans="1:38" s="169" customFormat="1" ht="20.100000000000001" customHeight="1" x14ac:dyDescent="0.15">
      <c r="A23" s="170" t="str">
        <f t="shared" si="5"/>
        <v/>
      </c>
      <c r="B23" s="347"/>
      <c r="C23" s="348"/>
      <c r="D23" s="349"/>
      <c r="E23" s="349"/>
      <c r="F23" s="350"/>
      <c r="G23" s="351"/>
      <c r="H23" s="351"/>
      <c r="I23" s="171" t="str">
        <f t="shared" si="11"/>
        <v/>
      </c>
      <c r="J23" s="171" t="str">
        <f t="shared" si="0"/>
        <v/>
      </c>
      <c r="K23" s="171" t="str">
        <f t="shared" si="1"/>
        <v/>
      </c>
      <c r="L23" s="171" t="str">
        <f t="shared" si="2"/>
        <v/>
      </c>
      <c r="M23" s="352"/>
      <c r="N23" s="353"/>
      <c r="O23" s="225" t="str">
        <f t="shared" si="3"/>
        <v/>
      </c>
      <c r="P23" s="226" t="str">
        <f t="shared" si="4"/>
        <v/>
      </c>
      <c r="Q23" s="354"/>
      <c r="R23" s="354"/>
      <c r="S23" s="354" t="str">
        <f t="shared" si="12"/>
        <v/>
      </c>
      <c r="T23" s="228" t="str">
        <f t="shared" si="6"/>
        <v/>
      </c>
      <c r="U23" s="365" t="str">
        <f t="shared" si="7"/>
        <v/>
      </c>
      <c r="V23" s="372"/>
      <c r="W23" s="371"/>
      <c r="X23" s="367"/>
      <c r="Y23" s="352"/>
      <c r="Z23" s="352"/>
      <c r="AA23" s="352"/>
      <c r="AB23" s="352"/>
      <c r="AC23" s="352"/>
      <c r="AD23" s="371"/>
      <c r="AE23" s="378"/>
      <c r="AF23" s="537" t="str">
        <f t="shared" si="8"/>
        <v/>
      </c>
      <c r="AG23" s="535" t="str">
        <f t="shared" si="13"/>
        <v/>
      </c>
      <c r="AH23" s="533" t="str">
        <f t="shared" si="9"/>
        <v/>
      </c>
      <c r="AI23" s="228" t="str">
        <f>IF($C23="","",VLOOKUP($AH23,'3-1.標準報酬月額・保険料表'!$N$8:$O$57,2,TRUE))</f>
        <v/>
      </c>
      <c r="AJ23" s="172"/>
      <c r="AK23" s="172"/>
      <c r="AL23" s="228">
        <f t="shared" si="10"/>
        <v>0</v>
      </c>
    </row>
    <row r="24" spans="1:38" s="169" customFormat="1" ht="20.100000000000001" customHeight="1" x14ac:dyDescent="0.15">
      <c r="A24" s="170" t="str">
        <f t="shared" si="5"/>
        <v/>
      </c>
      <c r="B24" s="347"/>
      <c r="C24" s="348"/>
      <c r="D24" s="349"/>
      <c r="E24" s="349"/>
      <c r="F24" s="350"/>
      <c r="G24" s="351"/>
      <c r="H24" s="351"/>
      <c r="I24" s="171" t="str">
        <f t="shared" si="11"/>
        <v/>
      </c>
      <c r="J24" s="171" t="str">
        <f t="shared" si="0"/>
        <v/>
      </c>
      <c r="K24" s="171" t="str">
        <f t="shared" si="1"/>
        <v/>
      </c>
      <c r="L24" s="171" t="str">
        <f t="shared" si="2"/>
        <v/>
      </c>
      <c r="M24" s="352"/>
      <c r="N24" s="353"/>
      <c r="O24" s="225" t="str">
        <f t="shared" si="3"/>
        <v/>
      </c>
      <c r="P24" s="226" t="str">
        <f t="shared" si="4"/>
        <v/>
      </c>
      <c r="Q24" s="354"/>
      <c r="R24" s="354"/>
      <c r="S24" s="354" t="str">
        <f t="shared" si="12"/>
        <v/>
      </c>
      <c r="T24" s="228" t="str">
        <f t="shared" si="6"/>
        <v/>
      </c>
      <c r="U24" s="365" t="str">
        <f t="shared" si="7"/>
        <v/>
      </c>
      <c r="V24" s="372"/>
      <c r="W24" s="371"/>
      <c r="X24" s="367"/>
      <c r="Y24" s="352"/>
      <c r="Z24" s="352"/>
      <c r="AA24" s="352"/>
      <c r="AB24" s="352"/>
      <c r="AC24" s="352"/>
      <c r="AD24" s="371"/>
      <c r="AE24" s="378"/>
      <c r="AF24" s="537" t="str">
        <f t="shared" si="8"/>
        <v/>
      </c>
      <c r="AG24" s="535" t="str">
        <f t="shared" si="13"/>
        <v/>
      </c>
      <c r="AH24" s="533" t="str">
        <f t="shared" si="9"/>
        <v/>
      </c>
      <c r="AI24" s="228" t="str">
        <f>IF($C24="","",VLOOKUP($AH24,'3-1.標準報酬月額・保険料表'!$N$8:$O$57,2,TRUE))</f>
        <v/>
      </c>
      <c r="AJ24" s="172"/>
      <c r="AK24" s="172"/>
      <c r="AL24" s="228">
        <f t="shared" si="10"/>
        <v>0</v>
      </c>
    </row>
    <row r="25" spans="1:38" s="169" customFormat="1" ht="20.100000000000001" customHeight="1" x14ac:dyDescent="0.15">
      <c r="A25" s="170" t="str">
        <f t="shared" si="5"/>
        <v/>
      </c>
      <c r="B25" s="347"/>
      <c r="C25" s="348"/>
      <c r="D25" s="349"/>
      <c r="E25" s="349"/>
      <c r="F25" s="350"/>
      <c r="G25" s="351"/>
      <c r="H25" s="351"/>
      <c r="I25" s="171" t="str">
        <f t="shared" si="11"/>
        <v/>
      </c>
      <c r="J25" s="171" t="str">
        <f t="shared" si="0"/>
        <v/>
      </c>
      <c r="K25" s="171" t="str">
        <f t="shared" si="1"/>
        <v/>
      </c>
      <c r="L25" s="171" t="str">
        <f t="shared" si="2"/>
        <v/>
      </c>
      <c r="M25" s="352"/>
      <c r="N25" s="353"/>
      <c r="O25" s="225" t="str">
        <f t="shared" si="3"/>
        <v/>
      </c>
      <c r="P25" s="226" t="str">
        <f t="shared" si="4"/>
        <v/>
      </c>
      <c r="Q25" s="354"/>
      <c r="R25" s="354"/>
      <c r="S25" s="354" t="str">
        <f t="shared" si="12"/>
        <v/>
      </c>
      <c r="T25" s="228" t="str">
        <f t="shared" si="6"/>
        <v/>
      </c>
      <c r="U25" s="365" t="str">
        <f t="shared" si="7"/>
        <v/>
      </c>
      <c r="V25" s="372"/>
      <c r="W25" s="371"/>
      <c r="X25" s="367"/>
      <c r="Y25" s="352"/>
      <c r="Z25" s="352"/>
      <c r="AA25" s="352"/>
      <c r="AB25" s="352"/>
      <c r="AC25" s="352"/>
      <c r="AD25" s="371"/>
      <c r="AE25" s="378"/>
      <c r="AF25" s="537" t="str">
        <f t="shared" si="8"/>
        <v/>
      </c>
      <c r="AG25" s="535" t="str">
        <f t="shared" si="13"/>
        <v/>
      </c>
      <c r="AH25" s="533" t="str">
        <f t="shared" si="9"/>
        <v/>
      </c>
      <c r="AI25" s="228" t="str">
        <f>IF($C25="","",VLOOKUP($AH25,'3-1.標準報酬月額・保険料表'!$N$8:$O$57,2,TRUE))</f>
        <v/>
      </c>
      <c r="AJ25" s="172"/>
      <c r="AK25" s="172"/>
      <c r="AL25" s="228">
        <f t="shared" si="10"/>
        <v>0</v>
      </c>
    </row>
    <row r="26" spans="1:38" s="169" customFormat="1" ht="20.100000000000001" customHeight="1" x14ac:dyDescent="0.15">
      <c r="A26" s="170" t="str">
        <f t="shared" si="5"/>
        <v/>
      </c>
      <c r="B26" s="347"/>
      <c r="C26" s="348"/>
      <c r="D26" s="349"/>
      <c r="E26" s="349"/>
      <c r="F26" s="350"/>
      <c r="G26" s="351"/>
      <c r="H26" s="351"/>
      <c r="I26" s="171" t="str">
        <f t="shared" si="11"/>
        <v/>
      </c>
      <c r="J26" s="171" t="str">
        <f t="shared" si="0"/>
        <v/>
      </c>
      <c r="K26" s="171" t="str">
        <f t="shared" si="1"/>
        <v/>
      </c>
      <c r="L26" s="171" t="str">
        <f t="shared" si="2"/>
        <v/>
      </c>
      <c r="M26" s="352"/>
      <c r="N26" s="353"/>
      <c r="O26" s="225" t="str">
        <f t="shared" si="3"/>
        <v/>
      </c>
      <c r="P26" s="226" t="str">
        <f t="shared" si="4"/>
        <v/>
      </c>
      <c r="Q26" s="354"/>
      <c r="R26" s="354"/>
      <c r="S26" s="354" t="str">
        <f t="shared" si="12"/>
        <v/>
      </c>
      <c r="T26" s="228" t="str">
        <f t="shared" si="6"/>
        <v/>
      </c>
      <c r="U26" s="365" t="str">
        <f t="shared" si="7"/>
        <v/>
      </c>
      <c r="V26" s="372"/>
      <c r="W26" s="371"/>
      <c r="X26" s="367"/>
      <c r="Y26" s="352"/>
      <c r="Z26" s="352"/>
      <c r="AA26" s="352"/>
      <c r="AB26" s="352"/>
      <c r="AC26" s="352"/>
      <c r="AD26" s="371"/>
      <c r="AE26" s="378"/>
      <c r="AF26" s="537" t="str">
        <f t="shared" si="8"/>
        <v/>
      </c>
      <c r="AG26" s="535" t="str">
        <f t="shared" si="13"/>
        <v/>
      </c>
      <c r="AH26" s="533" t="str">
        <f t="shared" si="9"/>
        <v/>
      </c>
      <c r="AI26" s="228" t="str">
        <f>IF($C26="","",VLOOKUP($AH26,'3-1.標準報酬月額・保険料表'!$N$8:$O$57,2,TRUE))</f>
        <v/>
      </c>
      <c r="AJ26" s="172"/>
      <c r="AK26" s="172"/>
      <c r="AL26" s="228">
        <f t="shared" si="10"/>
        <v>0</v>
      </c>
    </row>
    <row r="27" spans="1:38" s="169" customFormat="1" ht="20.100000000000001" customHeight="1" x14ac:dyDescent="0.15">
      <c r="A27" s="170" t="str">
        <f t="shared" si="5"/>
        <v/>
      </c>
      <c r="B27" s="347"/>
      <c r="C27" s="348"/>
      <c r="D27" s="349"/>
      <c r="E27" s="349"/>
      <c r="F27" s="350"/>
      <c r="G27" s="351"/>
      <c r="H27" s="351"/>
      <c r="I27" s="171" t="str">
        <f t="shared" si="11"/>
        <v/>
      </c>
      <c r="J27" s="171" t="str">
        <f t="shared" si="0"/>
        <v/>
      </c>
      <c r="K27" s="171" t="str">
        <f t="shared" si="1"/>
        <v/>
      </c>
      <c r="L27" s="171" t="str">
        <f t="shared" si="2"/>
        <v/>
      </c>
      <c r="M27" s="352"/>
      <c r="N27" s="353"/>
      <c r="O27" s="225" t="str">
        <f t="shared" si="3"/>
        <v/>
      </c>
      <c r="P27" s="226" t="str">
        <f t="shared" si="4"/>
        <v/>
      </c>
      <c r="Q27" s="354"/>
      <c r="R27" s="354"/>
      <c r="S27" s="354" t="str">
        <f t="shared" si="12"/>
        <v/>
      </c>
      <c r="T27" s="228" t="str">
        <f t="shared" si="6"/>
        <v/>
      </c>
      <c r="U27" s="365" t="str">
        <f t="shared" si="7"/>
        <v/>
      </c>
      <c r="V27" s="372"/>
      <c r="W27" s="371"/>
      <c r="X27" s="367"/>
      <c r="Y27" s="352"/>
      <c r="Z27" s="352"/>
      <c r="AA27" s="352"/>
      <c r="AB27" s="352"/>
      <c r="AC27" s="352"/>
      <c r="AD27" s="371"/>
      <c r="AE27" s="378"/>
      <c r="AF27" s="537" t="str">
        <f t="shared" si="8"/>
        <v/>
      </c>
      <c r="AG27" s="535" t="str">
        <f t="shared" si="13"/>
        <v/>
      </c>
      <c r="AH27" s="533" t="str">
        <f t="shared" si="9"/>
        <v/>
      </c>
      <c r="AI27" s="228" t="str">
        <f>IF($C27="","",VLOOKUP($AH27,'3-1.標準報酬月額・保険料表'!$N$8:$O$57,2,TRUE))</f>
        <v/>
      </c>
      <c r="AJ27" s="172"/>
      <c r="AK27" s="172"/>
      <c r="AL27" s="228">
        <f t="shared" si="10"/>
        <v>0</v>
      </c>
    </row>
    <row r="28" spans="1:38" s="169" customFormat="1" ht="20.100000000000001" customHeight="1" x14ac:dyDescent="0.15">
      <c r="A28" s="170" t="str">
        <f t="shared" si="5"/>
        <v/>
      </c>
      <c r="B28" s="347"/>
      <c r="C28" s="348"/>
      <c r="D28" s="349"/>
      <c r="E28" s="349"/>
      <c r="F28" s="350"/>
      <c r="G28" s="351"/>
      <c r="H28" s="351"/>
      <c r="I28" s="171" t="str">
        <f t="shared" si="11"/>
        <v/>
      </c>
      <c r="J28" s="171" t="str">
        <f t="shared" si="0"/>
        <v/>
      </c>
      <c r="K28" s="171" t="str">
        <f t="shared" si="1"/>
        <v/>
      </c>
      <c r="L28" s="171" t="str">
        <f t="shared" si="2"/>
        <v/>
      </c>
      <c r="M28" s="352"/>
      <c r="N28" s="353"/>
      <c r="O28" s="225" t="str">
        <f t="shared" si="3"/>
        <v/>
      </c>
      <c r="P28" s="226" t="str">
        <f t="shared" si="4"/>
        <v/>
      </c>
      <c r="Q28" s="354"/>
      <c r="R28" s="354"/>
      <c r="S28" s="354" t="str">
        <f t="shared" si="12"/>
        <v/>
      </c>
      <c r="T28" s="228" t="str">
        <f t="shared" si="6"/>
        <v/>
      </c>
      <c r="U28" s="365" t="str">
        <f t="shared" si="7"/>
        <v/>
      </c>
      <c r="V28" s="372"/>
      <c r="W28" s="371"/>
      <c r="X28" s="367"/>
      <c r="Y28" s="352"/>
      <c r="Z28" s="352"/>
      <c r="AA28" s="352"/>
      <c r="AB28" s="352"/>
      <c r="AC28" s="352"/>
      <c r="AD28" s="371"/>
      <c r="AE28" s="378"/>
      <c r="AF28" s="537" t="str">
        <f t="shared" si="8"/>
        <v/>
      </c>
      <c r="AG28" s="535" t="str">
        <f t="shared" si="13"/>
        <v/>
      </c>
      <c r="AH28" s="533" t="str">
        <f t="shared" si="9"/>
        <v/>
      </c>
      <c r="AI28" s="228" t="str">
        <f>IF($C28="","",VLOOKUP($AH28,'3-1.標準報酬月額・保険料表'!$N$8:$O$57,2,TRUE))</f>
        <v/>
      </c>
      <c r="AJ28" s="172"/>
      <c r="AK28" s="172"/>
      <c r="AL28" s="228">
        <f t="shared" si="10"/>
        <v>0</v>
      </c>
    </row>
    <row r="29" spans="1:38" s="169" customFormat="1" ht="20.100000000000001" customHeight="1" x14ac:dyDescent="0.15">
      <c r="A29" s="170" t="str">
        <f t="shared" si="5"/>
        <v/>
      </c>
      <c r="B29" s="347"/>
      <c r="C29" s="348"/>
      <c r="D29" s="349"/>
      <c r="E29" s="349"/>
      <c r="F29" s="350"/>
      <c r="G29" s="351"/>
      <c r="H29" s="351"/>
      <c r="I29" s="171" t="str">
        <f t="shared" si="11"/>
        <v/>
      </c>
      <c r="J29" s="171" t="str">
        <f t="shared" si="0"/>
        <v/>
      </c>
      <c r="K29" s="171" t="str">
        <f t="shared" si="1"/>
        <v/>
      </c>
      <c r="L29" s="171" t="str">
        <f t="shared" si="2"/>
        <v/>
      </c>
      <c r="M29" s="352"/>
      <c r="N29" s="353"/>
      <c r="O29" s="225" t="str">
        <f t="shared" si="3"/>
        <v/>
      </c>
      <c r="P29" s="226" t="str">
        <f t="shared" si="4"/>
        <v/>
      </c>
      <c r="Q29" s="354"/>
      <c r="R29" s="354"/>
      <c r="S29" s="354" t="str">
        <f t="shared" si="12"/>
        <v/>
      </c>
      <c r="T29" s="228" t="str">
        <f t="shared" si="6"/>
        <v/>
      </c>
      <c r="U29" s="365" t="str">
        <f t="shared" si="7"/>
        <v/>
      </c>
      <c r="V29" s="372"/>
      <c r="W29" s="371"/>
      <c r="X29" s="367"/>
      <c r="Y29" s="352"/>
      <c r="Z29" s="352"/>
      <c r="AA29" s="352"/>
      <c r="AB29" s="352"/>
      <c r="AC29" s="352"/>
      <c r="AD29" s="371"/>
      <c r="AE29" s="378"/>
      <c r="AF29" s="537" t="str">
        <f t="shared" si="8"/>
        <v/>
      </c>
      <c r="AG29" s="535" t="str">
        <f t="shared" si="13"/>
        <v/>
      </c>
      <c r="AH29" s="533" t="str">
        <f t="shared" si="9"/>
        <v/>
      </c>
      <c r="AI29" s="228" t="str">
        <f>IF($C29="","",VLOOKUP($AH29,'3-1.標準報酬月額・保険料表'!$N$8:$O$57,2,TRUE))</f>
        <v/>
      </c>
      <c r="AJ29" s="172"/>
      <c r="AK29" s="172"/>
      <c r="AL29" s="228">
        <f t="shared" si="10"/>
        <v>0</v>
      </c>
    </row>
    <row r="30" spans="1:38" s="169" customFormat="1" ht="20.100000000000001" customHeight="1" x14ac:dyDescent="0.15">
      <c r="A30" s="170" t="str">
        <f t="shared" si="5"/>
        <v/>
      </c>
      <c r="B30" s="347"/>
      <c r="C30" s="348"/>
      <c r="D30" s="349"/>
      <c r="E30" s="349"/>
      <c r="F30" s="350"/>
      <c r="G30" s="351"/>
      <c r="H30" s="351"/>
      <c r="I30" s="171" t="str">
        <f t="shared" si="11"/>
        <v/>
      </c>
      <c r="J30" s="171" t="str">
        <f t="shared" si="0"/>
        <v/>
      </c>
      <c r="K30" s="171" t="str">
        <f t="shared" si="1"/>
        <v/>
      </c>
      <c r="L30" s="171" t="str">
        <f t="shared" si="2"/>
        <v/>
      </c>
      <c r="M30" s="352"/>
      <c r="N30" s="353"/>
      <c r="O30" s="225" t="str">
        <f t="shared" si="3"/>
        <v/>
      </c>
      <c r="P30" s="226" t="str">
        <f t="shared" si="4"/>
        <v/>
      </c>
      <c r="Q30" s="354"/>
      <c r="R30" s="354"/>
      <c r="S30" s="354" t="str">
        <f t="shared" si="12"/>
        <v/>
      </c>
      <c r="T30" s="228" t="str">
        <f t="shared" si="6"/>
        <v/>
      </c>
      <c r="U30" s="365" t="str">
        <f t="shared" si="7"/>
        <v/>
      </c>
      <c r="V30" s="372"/>
      <c r="W30" s="371"/>
      <c r="X30" s="367"/>
      <c r="Y30" s="352"/>
      <c r="Z30" s="352"/>
      <c r="AA30" s="352"/>
      <c r="AB30" s="352"/>
      <c r="AC30" s="352"/>
      <c r="AD30" s="371"/>
      <c r="AE30" s="378"/>
      <c r="AF30" s="537" t="str">
        <f t="shared" si="8"/>
        <v/>
      </c>
      <c r="AG30" s="535" t="str">
        <f t="shared" si="13"/>
        <v/>
      </c>
      <c r="AH30" s="533" t="str">
        <f t="shared" si="9"/>
        <v/>
      </c>
      <c r="AI30" s="228" t="str">
        <f>IF($C30="","",VLOOKUP($AH30,'3-1.標準報酬月額・保険料表'!$N$8:$O$57,2,TRUE))</f>
        <v/>
      </c>
      <c r="AJ30" s="172"/>
      <c r="AK30" s="172"/>
      <c r="AL30" s="228">
        <f t="shared" si="10"/>
        <v>0</v>
      </c>
    </row>
    <row r="31" spans="1:38" s="169" customFormat="1" ht="20.100000000000001" customHeight="1" x14ac:dyDescent="0.15">
      <c r="A31" s="170" t="str">
        <f t="shared" si="5"/>
        <v/>
      </c>
      <c r="B31" s="347"/>
      <c r="C31" s="348"/>
      <c r="D31" s="349"/>
      <c r="E31" s="349"/>
      <c r="F31" s="350"/>
      <c r="G31" s="351"/>
      <c r="H31" s="351"/>
      <c r="I31" s="171" t="str">
        <f t="shared" si="11"/>
        <v/>
      </c>
      <c r="J31" s="171" t="str">
        <f t="shared" si="0"/>
        <v/>
      </c>
      <c r="K31" s="171" t="str">
        <f t="shared" si="1"/>
        <v/>
      </c>
      <c r="L31" s="171" t="str">
        <f t="shared" si="2"/>
        <v/>
      </c>
      <c r="M31" s="352"/>
      <c r="N31" s="353"/>
      <c r="O31" s="225" t="str">
        <f t="shared" si="3"/>
        <v/>
      </c>
      <c r="P31" s="226" t="str">
        <f t="shared" si="4"/>
        <v/>
      </c>
      <c r="Q31" s="354"/>
      <c r="R31" s="354"/>
      <c r="S31" s="354" t="str">
        <f t="shared" si="12"/>
        <v/>
      </c>
      <c r="T31" s="228" t="str">
        <f t="shared" si="6"/>
        <v/>
      </c>
      <c r="U31" s="365" t="str">
        <f t="shared" si="7"/>
        <v/>
      </c>
      <c r="V31" s="372"/>
      <c r="W31" s="371"/>
      <c r="X31" s="367"/>
      <c r="Y31" s="352"/>
      <c r="Z31" s="352"/>
      <c r="AA31" s="352"/>
      <c r="AB31" s="352"/>
      <c r="AC31" s="352"/>
      <c r="AD31" s="371"/>
      <c r="AE31" s="378"/>
      <c r="AF31" s="537" t="str">
        <f t="shared" si="8"/>
        <v/>
      </c>
      <c r="AG31" s="535" t="str">
        <f t="shared" si="13"/>
        <v/>
      </c>
      <c r="AH31" s="533" t="str">
        <f t="shared" si="9"/>
        <v/>
      </c>
      <c r="AI31" s="228" t="str">
        <f>IF($C31="","",VLOOKUP($AH31,'3-1.標準報酬月額・保険料表'!$N$8:$O$57,2,TRUE))</f>
        <v/>
      </c>
      <c r="AJ31" s="172"/>
      <c r="AK31" s="172"/>
      <c r="AL31" s="228">
        <f t="shared" si="10"/>
        <v>0</v>
      </c>
    </row>
    <row r="32" spans="1:38" s="169" customFormat="1" ht="20.100000000000001" customHeight="1" x14ac:dyDescent="0.15">
      <c r="A32" s="170" t="str">
        <f t="shared" si="5"/>
        <v/>
      </c>
      <c r="B32" s="347"/>
      <c r="C32" s="348"/>
      <c r="D32" s="349"/>
      <c r="E32" s="349"/>
      <c r="F32" s="350"/>
      <c r="G32" s="351"/>
      <c r="H32" s="351"/>
      <c r="I32" s="171" t="str">
        <f t="shared" si="11"/>
        <v/>
      </c>
      <c r="J32" s="171" t="str">
        <f t="shared" si="0"/>
        <v/>
      </c>
      <c r="K32" s="171" t="str">
        <f t="shared" si="1"/>
        <v/>
      </c>
      <c r="L32" s="171" t="str">
        <f t="shared" si="2"/>
        <v/>
      </c>
      <c r="M32" s="352"/>
      <c r="N32" s="353"/>
      <c r="O32" s="225" t="str">
        <f t="shared" si="3"/>
        <v/>
      </c>
      <c r="P32" s="226" t="str">
        <f t="shared" si="4"/>
        <v/>
      </c>
      <c r="Q32" s="354"/>
      <c r="R32" s="354"/>
      <c r="S32" s="354" t="str">
        <f t="shared" si="12"/>
        <v/>
      </c>
      <c r="T32" s="228" t="str">
        <f t="shared" si="6"/>
        <v/>
      </c>
      <c r="U32" s="365" t="str">
        <f t="shared" si="7"/>
        <v/>
      </c>
      <c r="V32" s="372"/>
      <c r="W32" s="371"/>
      <c r="X32" s="367"/>
      <c r="Y32" s="352"/>
      <c r="Z32" s="352"/>
      <c r="AA32" s="352"/>
      <c r="AB32" s="352"/>
      <c r="AC32" s="352"/>
      <c r="AD32" s="371"/>
      <c r="AE32" s="378"/>
      <c r="AF32" s="537" t="str">
        <f t="shared" si="8"/>
        <v/>
      </c>
      <c r="AG32" s="535" t="str">
        <f t="shared" si="13"/>
        <v/>
      </c>
      <c r="AH32" s="533" t="str">
        <f t="shared" si="9"/>
        <v/>
      </c>
      <c r="AI32" s="228" t="str">
        <f>IF($C32="","",VLOOKUP($AH32,'3-1.標準報酬月額・保険料表'!$N$8:$O$57,2,TRUE))</f>
        <v/>
      </c>
      <c r="AJ32" s="172"/>
      <c r="AK32" s="172"/>
      <c r="AL32" s="228">
        <f t="shared" si="10"/>
        <v>0</v>
      </c>
    </row>
    <row r="33" spans="1:38" s="169" customFormat="1" ht="20.100000000000001" customHeight="1" x14ac:dyDescent="0.15">
      <c r="A33" s="170" t="str">
        <f t="shared" si="5"/>
        <v/>
      </c>
      <c r="B33" s="347"/>
      <c r="C33" s="348"/>
      <c r="D33" s="349"/>
      <c r="E33" s="349"/>
      <c r="F33" s="350"/>
      <c r="G33" s="351"/>
      <c r="H33" s="351"/>
      <c r="I33" s="171" t="str">
        <f t="shared" si="11"/>
        <v/>
      </c>
      <c r="J33" s="171" t="str">
        <f t="shared" si="0"/>
        <v/>
      </c>
      <c r="K33" s="171" t="str">
        <f t="shared" si="1"/>
        <v/>
      </c>
      <c r="L33" s="171" t="str">
        <f t="shared" si="2"/>
        <v/>
      </c>
      <c r="M33" s="352"/>
      <c r="N33" s="353"/>
      <c r="O33" s="225" t="str">
        <f t="shared" si="3"/>
        <v/>
      </c>
      <c r="P33" s="226" t="str">
        <f t="shared" si="4"/>
        <v/>
      </c>
      <c r="Q33" s="354"/>
      <c r="R33" s="354"/>
      <c r="S33" s="354" t="str">
        <f t="shared" si="12"/>
        <v/>
      </c>
      <c r="T33" s="228" t="str">
        <f t="shared" si="6"/>
        <v/>
      </c>
      <c r="U33" s="365" t="str">
        <f t="shared" si="7"/>
        <v/>
      </c>
      <c r="V33" s="372"/>
      <c r="W33" s="371"/>
      <c r="X33" s="367"/>
      <c r="Y33" s="352"/>
      <c r="Z33" s="352"/>
      <c r="AA33" s="352"/>
      <c r="AB33" s="352"/>
      <c r="AC33" s="352"/>
      <c r="AD33" s="371"/>
      <c r="AE33" s="378"/>
      <c r="AF33" s="537" t="str">
        <f t="shared" si="8"/>
        <v/>
      </c>
      <c r="AG33" s="535" t="str">
        <f t="shared" si="13"/>
        <v/>
      </c>
      <c r="AH33" s="533" t="str">
        <f t="shared" si="9"/>
        <v/>
      </c>
      <c r="AI33" s="228" t="str">
        <f>IF($C33="","",VLOOKUP($AH33,'3-1.標準報酬月額・保険料表'!$N$8:$O$57,2,TRUE))</f>
        <v/>
      </c>
      <c r="AJ33" s="172"/>
      <c r="AK33" s="172"/>
      <c r="AL33" s="228">
        <f t="shared" si="10"/>
        <v>0</v>
      </c>
    </row>
    <row r="34" spans="1:38" s="169" customFormat="1" ht="20.100000000000001" customHeight="1" x14ac:dyDescent="0.15">
      <c r="A34" s="170" t="str">
        <f t="shared" si="5"/>
        <v/>
      </c>
      <c r="B34" s="347"/>
      <c r="C34" s="348"/>
      <c r="D34" s="349"/>
      <c r="E34" s="349"/>
      <c r="F34" s="350"/>
      <c r="G34" s="351"/>
      <c r="H34" s="351"/>
      <c r="I34" s="171" t="str">
        <f t="shared" si="11"/>
        <v/>
      </c>
      <c r="J34" s="171" t="str">
        <f t="shared" si="0"/>
        <v/>
      </c>
      <c r="K34" s="171" t="str">
        <f t="shared" si="1"/>
        <v/>
      </c>
      <c r="L34" s="171" t="str">
        <f t="shared" si="2"/>
        <v/>
      </c>
      <c r="M34" s="352"/>
      <c r="N34" s="353"/>
      <c r="O34" s="225" t="str">
        <f t="shared" si="3"/>
        <v/>
      </c>
      <c r="P34" s="226" t="str">
        <f t="shared" si="4"/>
        <v/>
      </c>
      <c r="Q34" s="354"/>
      <c r="R34" s="354"/>
      <c r="S34" s="354" t="str">
        <f t="shared" si="12"/>
        <v/>
      </c>
      <c r="T34" s="228" t="str">
        <f t="shared" si="6"/>
        <v/>
      </c>
      <c r="U34" s="365" t="str">
        <f t="shared" si="7"/>
        <v/>
      </c>
      <c r="V34" s="372"/>
      <c r="W34" s="371"/>
      <c r="X34" s="367"/>
      <c r="Y34" s="352"/>
      <c r="Z34" s="352"/>
      <c r="AA34" s="352"/>
      <c r="AB34" s="352"/>
      <c r="AC34" s="352"/>
      <c r="AD34" s="371"/>
      <c r="AE34" s="378"/>
      <c r="AF34" s="537" t="str">
        <f t="shared" si="8"/>
        <v/>
      </c>
      <c r="AG34" s="535" t="str">
        <f t="shared" si="13"/>
        <v/>
      </c>
      <c r="AH34" s="533" t="str">
        <f t="shared" si="9"/>
        <v/>
      </c>
      <c r="AI34" s="228" t="str">
        <f>IF($C34="","",VLOOKUP($AH34,'3-1.標準報酬月額・保険料表'!$N$8:$O$57,2,TRUE))</f>
        <v/>
      </c>
      <c r="AJ34" s="172"/>
      <c r="AK34" s="172"/>
      <c r="AL34" s="228">
        <f t="shared" si="10"/>
        <v>0</v>
      </c>
    </row>
    <row r="35" spans="1:38" s="169" customFormat="1" ht="20.100000000000001" customHeight="1" x14ac:dyDescent="0.15">
      <c r="A35" s="170" t="str">
        <f t="shared" si="5"/>
        <v/>
      </c>
      <c r="B35" s="347"/>
      <c r="C35" s="348"/>
      <c r="D35" s="349"/>
      <c r="E35" s="349"/>
      <c r="F35" s="350"/>
      <c r="G35" s="351"/>
      <c r="H35" s="351"/>
      <c r="I35" s="171" t="str">
        <f t="shared" si="11"/>
        <v/>
      </c>
      <c r="J35" s="171" t="str">
        <f t="shared" si="0"/>
        <v/>
      </c>
      <c r="K35" s="171" t="str">
        <f t="shared" si="1"/>
        <v/>
      </c>
      <c r="L35" s="171" t="str">
        <f t="shared" si="2"/>
        <v/>
      </c>
      <c r="M35" s="352"/>
      <c r="N35" s="353"/>
      <c r="O35" s="225" t="str">
        <f t="shared" si="3"/>
        <v/>
      </c>
      <c r="P35" s="226" t="str">
        <f t="shared" si="4"/>
        <v/>
      </c>
      <c r="Q35" s="354"/>
      <c r="R35" s="354"/>
      <c r="S35" s="354" t="str">
        <f t="shared" si="12"/>
        <v/>
      </c>
      <c r="T35" s="228" t="str">
        <f t="shared" si="6"/>
        <v/>
      </c>
      <c r="U35" s="365" t="str">
        <f t="shared" si="7"/>
        <v/>
      </c>
      <c r="V35" s="372"/>
      <c r="W35" s="371"/>
      <c r="X35" s="367"/>
      <c r="Y35" s="352"/>
      <c r="Z35" s="352"/>
      <c r="AA35" s="352"/>
      <c r="AB35" s="352"/>
      <c r="AC35" s="352"/>
      <c r="AD35" s="371"/>
      <c r="AE35" s="378"/>
      <c r="AF35" s="537" t="str">
        <f t="shared" si="8"/>
        <v/>
      </c>
      <c r="AG35" s="535" t="str">
        <f t="shared" si="13"/>
        <v/>
      </c>
      <c r="AH35" s="533" t="str">
        <f t="shared" si="9"/>
        <v/>
      </c>
      <c r="AI35" s="228" t="str">
        <f>IF($C35="","",VLOOKUP($AH35,'3-1.標準報酬月額・保険料表'!$N$8:$O$57,2,TRUE))</f>
        <v/>
      </c>
      <c r="AJ35" s="172"/>
      <c r="AK35" s="172"/>
      <c r="AL35" s="228">
        <f t="shared" si="10"/>
        <v>0</v>
      </c>
    </row>
    <row r="36" spans="1:38" s="169" customFormat="1" ht="20.100000000000001" customHeight="1" x14ac:dyDescent="0.15">
      <c r="A36" s="170" t="str">
        <f t="shared" si="5"/>
        <v/>
      </c>
      <c r="B36" s="347"/>
      <c r="C36" s="348"/>
      <c r="D36" s="349"/>
      <c r="E36" s="349"/>
      <c r="F36" s="350"/>
      <c r="G36" s="351"/>
      <c r="H36" s="351"/>
      <c r="I36" s="171" t="str">
        <f t="shared" si="11"/>
        <v/>
      </c>
      <c r="J36" s="171" t="str">
        <f t="shared" si="0"/>
        <v/>
      </c>
      <c r="K36" s="171" t="str">
        <f t="shared" si="1"/>
        <v/>
      </c>
      <c r="L36" s="171" t="str">
        <f t="shared" si="2"/>
        <v/>
      </c>
      <c r="M36" s="352"/>
      <c r="N36" s="353"/>
      <c r="O36" s="225" t="str">
        <f t="shared" si="3"/>
        <v/>
      </c>
      <c r="P36" s="226" t="str">
        <f t="shared" si="4"/>
        <v/>
      </c>
      <c r="Q36" s="354"/>
      <c r="R36" s="354"/>
      <c r="S36" s="354" t="str">
        <f t="shared" si="12"/>
        <v/>
      </c>
      <c r="T36" s="228" t="str">
        <f t="shared" si="6"/>
        <v/>
      </c>
      <c r="U36" s="365" t="str">
        <f t="shared" si="7"/>
        <v/>
      </c>
      <c r="V36" s="372"/>
      <c r="W36" s="371"/>
      <c r="X36" s="367"/>
      <c r="Y36" s="352"/>
      <c r="Z36" s="352"/>
      <c r="AA36" s="352"/>
      <c r="AB36" s="352"/>
      <c r="AC36" s="352"/>
      <c r="AD36" s="371"/>
      <c r="AE36" s="378"/>
      <c r="AF36" s="537" t="str">
        <f t="shared" si="8"/>
        <v/>
      </c>
      <c r="AG36" s="535" t="str">
        <f t="shared" si="13"/>
        <v/>
      </c>
      <c r="AH36" s="533" t="str">
        <f t="shared" si="9"/>
        <v/>
      </c>
      <c r="AI36" s="228" t="str">
        <f>IF($C36="","",VLOOKUP($AH36,'3-1.標準報酬月額・保険料表'!$N$8:$O$57,2,TRUE))</f>
        <v/>
      </c>
      <c r="AJ36" s="172"/>
      <c r="AK36" s="172"/>
      <c r="AL36" s="228">
        <f t="shared" si="10"/>
        <v>0</v>
      </c>
    </row>
    <row r="37" spans="1:38" s="169" customFormat="1" ht="20.100000000000001" customHeight="1" x14ac:dyDescent="0.15">
      <c r="A37" s="170" t="str">
        <f t="shared" si="5"/>
        <v/>
      </c>
      <c r="B37" s="347"/>
      <c r="C37" s="348"/>
      <c r="D37" s="349"/>
      <c r="E37" s="349"/>
      <c r="F37" s="350"/>
      <c r="G37" s="351"/>
      <c r="H37" s="351"/>
      <c r="I37" s="171" t="str">
        <f t="shared" si="11"/>
        <v/>
      </c>
      <c r="J37" s="171" t="str">
        <f t="shared" si="0"/>
        <v/>
      </c>
      <c r="K37" s="171" t="str">
        <f t="shared" si="1"/>
        <v/>
      </c>
      <c r="L37" s="171" t="str">
        <f t="shared" si="2"/>
        <v/>
      </c>
      <c r="M37" s="352"/>
      <c r="N37" s="353"/>
      <c r="O37" s="225" t="str">
        <f t="shared" si="3"/>
        <v/>
      </c>
      <c r="P37" s="226" t="str">
        <f t="shared" si="4"/>
        <v/>
      </c>
      <c r="Q37" s="354"/>
      <c r="R37" s="354"/>
      <c r="S37" s="354" t="str">
        <f t="shared" si="12"/>
        <v/>
      </c>
      <c r="T37" s="228" t="str">
        <f t="shared" si="6"/>
        <v/>
      </c>
      <c r="U37" s="365" t="str">
        <f t="shared" si="7"/>
        <v/>
      </c>
      <c r="V37" s="372"/>
      <c r="W37" s="371"/>
      <c r="X37" s="367"/>
      <c r="Y37" s="352"/>
      <c r="Z37" s="352"/>
      <c r="AA37" s="352"/>
      <c r="AB37" s="352"/>
      <c r="AC37" s="352"/>
      <c r="AD37" s="371"/>
      <c r="AE37" s="378"/>
      <c r="AF37" s="537" t="str">
        <f t="shared" si="8"/>
        <v/>
      </c>
      <c r="AG37" s="535" t="str">
        <f t="shared" si="13"/>
        <v/>
      </c>
      <c r="AH37" s="533" t="str">
        <f t="shared" si="9"/>
        <v/>
      </c>
      <c r="AI37" s="228" t="str">
        <f>IF($C37="","",VLOOKUP($AH37,'3-1.標準報酬月額・保険料表'!$N$8:$O$57,2,TRUE))</f>
        <v/>
      </c>
      <c r="AJ37" s="172"/>
      <c r="AK37" s="172"/>
      <c r="AL37" s="228">
        <f t="shared" si="10"/>
        <v>0</v>
      </c>
    </row>
    <row r="38" spans="1:38" s="169" customFormat="1" ht="20.100000000000001" customHeight="1" x14ac:dyDescent="0.15">
      <c r="A38" s="170" t="str">
        <f t="shared" si="5"/>
        <v/>
      </c>
      <c r="B38" s="347"/>
      <c r="C38" s="348"/>
      <c r="D38" s="349"/>
      <c r="E38" s="349"/>
      <c r="F38" s="350"/>
      <c r="G38" s="351"/>
      <c r="H38" s="351"/>
      <c r="I38" s="171" t="str">
        <f t="shared" si="11"/>
        <v/>
      </c>
      <c r="J38" s="171" t="str">
        <f t="shared" si="0"/>
        <v/>
      </c>
      <c r="K38" s="171" t="str">
        <f t="shared" si="1"/>
        <v/>
      </c>
      <c r="L38" s="171" t="str">
        <f t="shared" si="2"/>
        <v/>
      </c>
      <c r="M38" s="352"/>
      <c r="N38" s="353"/>
      <c r="O38" s="225" t="str">
        <f t="shared" si="3"/>
        <v/>
      </c>
      <c r="P38" s="226" t="str">
        <f t="shared" si="4"/>
        <v/>
      </c>
      <c r="Q38" s="354"/>
      <c r="R38" s="354"/>
      <c r="S38" s="354" t="str">
        <f t="shared" si="12"/>
        <v/>
      </c>
      <c r="T38" s="228" t="str">
        <f t="shared" si="6"/>
        <v/>
      </c>
      <c r="U38" s="365" t="str">
        <f t="shared" si="7"/>
        <v/>
      </c>
      <c r="V38" s="372"/>
      <c r="W38" s="371"/>
      <c r="X38" s="367"/>
      <c r="Y38" s="352"/>
      <c r="Z38" s="352"/>
      <c r="AA38" s="352"/>
      <c r="AB38" s="352"/>
      <c r="AC38" s="352"/>
      <c r="AD38" s="371"/>
      <c r="AE38" s="378"/>
      <c r="AF38" s="537" t="str">
        <f t="shared" si="8"/>
        <v/>
      </c>
      <c r="AG38" s="535" t="str">
        <f t="shared" si="13"/>
        <v/>
      </c>
      <c r="AH38" s="533" t="str">
        <f t="shared" si="9"/>
        <v/>
      </c>
      <c r="AI38" s="228" t="str">
        <f>IF($C38="","",VLOOKUP($AH38,'3-1.標準報酬月額・保険料表'!$N$8:$O$57,2,TRUE))</f>
        <v/>
      </c>
      <c r="AJ38" s="172"/>
      <c r="AK38" s="172"/>
      <c r="AL38" s="228">
        <f t="shared" si="10"/>
        <v>0</v>
      </c>
    </row>
    <row r="39" spans="1:38" s="169" customFormat="1" ht="20.100000000000001" customHeight="1" x14ac:dyDescent="0.15">
      <c r="A39" s="170" t="str">
        <f t="shared" si="5"/>
        <v/>
      </c>
      <c r="B39" s="347"/>
      <c r="C39" s="348"/>
      <c r="D39" s="349"/>
      <c r="E39" s="349"/>
      <c r="F39" s="350"/>
      <c r="G39" s="351"/>
      <c r="H39" s="351"/>
      <c r="I39" s="171" t="str">
        <f t="shared" si="11"/>
        <v/>
      </c>
      <c r="J39" s="171" t="str">
        <f t="shared" si="0"/>
        <v/>
      </c>
      <c r="K39" s="171" t="str">
        <f t="shared" si="1"/>
        <v/>
      </c>
      <c r="L39" s="171" t="str">
        <f t="shared" si="2"/>
        <v/>
      </c>
      <c r="M39" s="352"/>
      <c r="N39" s="353"/>
      <c r="O39" s="225" t="str">
        <f t="shared" si="3"/>
        <v/>
      </c>
      <c r="P39" s="226" t="str">
        <f t="shared" si="4"/>
        <v/>
      </c>
      <c r="Q39" s="354"/>
      <c r="R39" s="354"/>
      <c r="S39" s="354" t="str">
        <f t="shared" si="12"/>
        <v/>
      </c>
      <c r="T39" s="228" t="str">
        <f t="shared" si="6"/>
        <v/>
      </c>
      <c r="U39" s="365" t="str">
        <f t="shared" si="7"/>
        <v/>
      </c>
      <c r="V39" s="372"/>
      <c r="W39" s="371"/>
      <c r="X39" s="367"/>
      <c r="Y39" s="352"/>
      <c r="Z39" s="352"/>
      <c r="AA39" s="352"/>
      <c r="AB39" s="352"/>
      <c r="AC39" s="352"/>
      <c r="AD39" s="371"/>
      <c r="AE39" s="378"/>
      <c r="AF39" s="537" t="str">
        <f t="shared" si="8"/>
        <v/>
      </c>
      <c r="AG39" s="535" t="str">
        <f t="shared" si="13"/>
        <v/>
      </c>
      <c r="AH39" s="533" t="str">
        <f t="shared" si="9"/>
        <v/>
      </c>
      <c r="AI39" s="228" t="str">
        <f>IF($C39="","",VLOOKUP($AH39,'3-1.標準報酬月額・保険料表'!$N$8:$O$57,2,TRUE))</f>
        <v/>
      </c>
      <c r="AJ39" s="172"/>
      <c r="AK39" s="172"/>
      <c r="AL39" s="228">
        <f t="shared" si="10"/>
        <v>0</v>
      </c>
    </row>
    <row r="40" spans="1:38" s="169" customFormat="1" ht="20.100000000000001" customHeight="1" x14ac:dyDescent="0.15">
      <c r="A40" s="170" t="str">
        <f t="shared" si="5"/>
        <v/>
      </c>
      <c r="B40" s="347"/>
      <c r="C40" s="348"/>
      <c r="D40" s="349"/>
      <c r="E40" s="349"/>
      <c r="F40" s="350"/>
      <c r="G40" s="351"/>
      <c r="H40" s="351"/>
      <c r="I40" s="171" t="str">
        <f t="shared" si="11"/>
        <v/>
      </c>
      <c r="J40" s="171" t="str">
        <f t="shared" si="0"/>
        <v/>
      </c>
      <c r="K40" s="171" t="str">
        <f t="shared" si="1"/>
        <v/>
      </c>
      <c r="L40" s="171" t="str">
        <f t="shared" si="2"/>
        <v/>
      </c>
      <c r="M40" s="352"/>
      <c r="N40" s="353"/>
      <c r="O40" s="225" t="str">
        <f t="shared" si="3"/>
        <v/>
      </c>
      <c r="P40" s="226" t="str">
        <f t="shared" si="4"/>
        <v/>
      </c>
      <c r="Q40" s="354"/>
      <c r="R40" s="354"/>
      <c r="S40" s="354" t="str">
        <f t="shared" si="12"/>
        <v/>
      </c>
      <c r="T40" s="228" t="str">
        <f t="shared" si="6"/>
        <v/>
      </c>
      <c r="U40" s="365" t="str">
        <f t="shared" si="7"/>
        <v/>
      </c>
      <c r="V40" s="372"/>
      <c r="W40" s="371"/>
      <c r="X40" s="367"/>
      <c r="Y40" s="352"/>
      <c r="Z40" s="352"/>
      <c r="AA40" s="352"/>
      <c r="AB40" s="352"/>
      <c r="AC40" s="352"/>
      <c r="AD40" s="371"/>
      <c r="AE40" s="378"/>
      <c r="AF40" s="537" t="str">
        <f t="shared" si="8"/>
        <v/>
      </c>
      <c r="AG40" s="535" t="str">
        <f t="shared" si="13"/>
        <v/>
      </c>
      <c r="AH40" s="533" t="str">
        <f t="shared" si="9"/>
        <v/>
      </c>
      <c r="AI40" s="228" t="str">
        <f>IF($C40="","",VLOOKUP($AH40,'3-1.標準報酬月額・保険料表'!$N$8:$O$57,2,TRUE))</f>
        <v/>
      </c>
      <c r="AJ40" s="172"/>
      <c r="AK40" s="172"/>
      <c r="AL40" s="228">
        <f t="shared" si="10"/>
        <v>0</v>
      </c>
    </row>
    <row r="41" spans="1:38" s="169" customFormat="1" ht="20.100000000000001" customHeight="1" x14ac:dyDescent="0.15">
      <c r="A41" s="170" t="str">
        <f t="shared" si="5"/>
        <v/>
      </c>
      <c r="B41" s="347"/>
      <c r="C41" s="348"/>
      <c r="D41" s="349"/>
      <c r="E41" s="349"/>
      <c r="F41" s="350"/>
      <c r="G41" s="351"/>
      <c r="H41" s="351"/>
      <c r="I41" s="171" t="str">
        <f t="shared" si="11"/>
        <v/>
      </c>
      <c r="J41" s="171" t="str">
        <f t="shared" si="0"/>
        <v/>
      </c>
      <c r="K41" s="171" t="str">
        <f t="shared" si="1"/>
        <v/>
      </c>
      <c r="L41" s="171" t="str">
        <f t="shared" si="2"/>
        <v/>
      </c>
      <c r="M41" s="352"/>
      <c r="N41" s="353"/>
      <c r="O41" s="225" t="str">
        <f t="shared" si="3"/>
        <v/>
      </c>
      <c r="P41" s="226" t="str">
        <f t="shared" si="4"/>
        <v/>
      </c>
      <c r="Q41" s="354"/>
      <c r="R41" s="354"/>
      <c r="S41" s="354" t="str">
        <f t="shared" si="12"/>
        <v/>
      </c>
      <c r="T41" s="228" t="str">
        <f t="shared" si="6"/>
        <v/>
      </c>
      <c r="U41" s="365" t="str">
        <f t="shared" si="7"/>
        <v/>
      </c>
      <c r="V41" s="372"/>
      <c r="W41" s="371"/>
      <c r="X41" s="367"/>
      <c r="Y41" s="352"/>
      <c r="Z41" s="352"/>
      <c r="AA41" s="352"/>
      <c r="AB41" s="352"/>
      <c r="AC41" s="352"/>
      <c r="AD41" s="371"/>
      <c r="AE41" s="378"/>
      <c r="AF41" s="537" t="str">
        <f t="shared" si="8"/>
        <v/>
      </c>
      <c r="AG41" s="535" t="str">
        <f t="shared" si="13"/>
        <v/>
      </c>
      <c r="AH41" s="533" t="str">
        <f t="shared" si="9"/>
        <v/>
      </c>
      <c r="AI41" s="228" t="str">
        <f>IF($C41="","",VLOOKUP($AH41,'3-1.標準報酬月額・保険料表'!$N$8:$O$57,2,TRUE))</f>
        <v/>
      </c>
      <c r="AJ41" s="172"/>
      <c r="AK41" s="172"/>
      <c r="AL41" s="228">
        <f t="shared" si="10"/>
        <v>0</v>
      </c>
    </row>
    <row r="42" spans="1:38" s="169" customFormat="1" ht="20.100000000000001" customHeight="1" x14ac:dyDescent="0.15">
      <c r="A42" s="170" t="str">
        <f t="shared" si="5"/>
        <v/>
      </c>
      <c r="B42" s="347"/>
      <c r="C42" s="348"/>
      <c r="D42" s="349"/>
      <c r="E42" s="349"/>
      <c r="F42" s="350"/>
      <c r="G42" s="351"/>
      <c r="H42" s="351"/>
      <c r="I42" s="171" t="str">
        <f t="shared" si="11"/>
        <v/>
      </c>
      <c r="J42" s="171" t="str">
        <f t="shared" si="0"/>
        <v/>
      </c>
      <c r="K42" s="171" t="str">
        <f t="shared" si="1"/>
        <v/>
      </c>
      <c r="L42" s="171" t="str">
        <f t="shared" si="2"/>
        <v/>
      </c>
      <c r="M42" s="352"/>
      <c r="N42" s="353"/>
      <c r="O42" s="225" t="str">
        <f t="shared" si="3"/>
        <v/>
      </c>
      <c r="P42" s="226" t="str">
        <f t="shared" si="4"/>
        <v/>
      </c>
      <c r="Q42" s="354"/>
      <c r="R42" s="354"/>
      <c r="S42" s="354" t="str">
        <f t="shared" si="12"/>
        <v/>
      </c>
      <c r="T42" s="228" t="str">
        <f t="shared" si="6"/>
        <v/>
      </c>
      <c r="U42" s="365" t="str">
        <f t="shared" si="7"/>
        <v/>
      </c>
      <c r="V42" s="372"/>
      <c r="W42" s="371"/>
      <c r="X42" s="367"/>
      <c r="Y42" s="352"/>
      <c r="Z42" s="352"/>
      <c r="AA42" s="352"/>
      <c r="AB42" s="352"/>
      <c r="AC42" s="352"/>
      <c r="AD42" s="371"/>
      <c r="AE42" s="378"/>
      <c r="AF42" s="537" t="str">
        <f t="shared" si="8"/>
        <v/>
      </c>
      <c r="AG42" s="535" t="str">
        <f t="shared" si="13"/>
        <v/>
      </c>
      <c r="AH42" s="533" t="str">
        <f t="shared" si="9"/>
        <v/>
      </c>
      <c r="AI42" s="228" t="str">
        <f>IF($C42="","",VLOOKUP($AH42,'3-1.標準報酬月額・保険料表'!$N$8:$O$57,2,TRUE))</f>
        <v/>
      </c>
      <c r="AJ42" s="172"/>
      <c r="AK42" s="172"/>
      <c r="AL42" s="228">
        <f t="shared" si="10"/>
        <v>0</v>
      </c>
    </row>
    <row r="43" spans="1:38" s="169" customFormat="1" ht="20.100000000000001" customHeight="1" x14ac:dyDescent="0.15">
      <c r="A43" s="170" t="str">
        <f t="shared" si="5"/>
        <v/>
      </c>
      <c r="B43" s="347"/>
      <c r="C43" s="348"/>
      <c r="D43" s="349"/>
      <c r="E43" s="349"/>
      <c r="F43" s="350"/>
      <c r="G43" s="351"/>
      <c r="H43" s="351"/>
      <c r="I43" s="171" t="str">
        <f t="shared" si="11"/>
        <v/>
      </c>
      <c r="J43" s="171" t="str">
        <f t="shared" si="0"/>
        <v/>
      </c>
      <c r="K43" s="171" t="str">
        <f t="shared" si="1"/>
        <v/>
      </c>
      <c r="L43" s="171" t="str">
        <f t="shared" si="2"/>
        <v/>
      </c>
      <c r="M43" s="352"/>
      <c r="N43" s="353"/>
      <c r="O43" s="225" t="str">
        <f t="shared" si="3"/>
        <v/>
      </c>
      <c r="P43" s="226" t="str">
        <f t="shared" si="4"/>
        <v/>
      </c>
      <c r="Q43" s="354"/>
      <c r="R43" s="354"/>
      <c r="S43" s="354" t="str">
        <f t="shared" si="12"/>
        <v/>
      </c>
      <c r="T43" s="228" t="str">
        <f t="shared" si="6"/>
        <v/>
      </c>
      <c r="U43" s="365" t="str">
        <f t="shared" si="7"/>
        <v/>
      </c>
      <c r="V43" s="372"/>
      <c r="W43" s="371"/>
      <c r="X43" s="367"/>
      <c r="Y43" s="352"/>
      <c r="Z43" s="352"/>
      <c r="AA43" s="352"/>
      <c r="AB43" s="352"/>
      <c r="AC43" s="352"/>
      <c r="AD43" s="371"/>
      <c r="AE43" s="378"/>
      <c r="AF43" s="537" t="str">
        <f t="shared" si="8"/>
        <v/>
      </c>
      <c r="AG43" s="535" t="str">
        <f t="shared" si="13"/>
        <v/>
      </c>
      <c r="AH43" s="533" t="str">
        <f t="shared" si="9"/>
        <v/>
      </c>
      <c r="AI43" s="228" t="str">
        <f>IF($C43="","",VLOOKUP($AH43,'3-1.標準報酬月額・保険料表'!$N$8:$O$57,2,TRUE))</f>
        <v/>
      </c>
      <c r="AJ43" s="172"/>
      <c r="AK43" s="172"/>
      <c r="AL43" s="228">
        <f t="shared" si="10"/>
        <v>0</v>
      </c>
    </row>
    <row r="44" spans="1:38" s="169" customFormat="1" ht="20.100000000000001" customHeight="1" x14ac:dyDescent="0.15">
      <c r="A44" s="170" t="str">
        <f t="shared" si="5"/>
        <v/>
      </c>
      <c r="B44" s="347"/>
      <c r="C44" s="348"/>
      <c r="D44" s="349"/>
      <c r="E44" s="349"/>
      <c r="F44" s="350"/>
      <c r="G44" s="351"/>
      <c r="H44" s="351"/>
      <c r="I44" s="171" t="str">
        <f t="shared" si="11"/>
        <v/>
      </c>
      <c r="J44" s="171" t="str">
        <f t="shared" si="0"/>
        <v/>
      </c>
      <c r="K44" s="171" t="str">
        <f t="shared" si="1"/>
        <v/>
      </c>
      <c r="L44" s="171" t="str">
        <f t="shared" si="2"/>
        <v/>
      </c>
      <c r="M44" s="352"/>
      <c r="N44" s="353"/>
      <c r="O44" s="225" t="str">
        <f t="shared" si="3"/>
        <v/>
      </c>
      <c r="P44" s="226" t="str">
        <f t="shared" si="4"/>
        <v/>
      </c>
      <c r="Q44" s="354"/>
      <c r="R44" s="354"/>
      <c r="S44" s="354" t="str">
        <f t="shared" si="12"/>
        <v/>
      </c>
      <c r="T44" s="228" t="str">
        <f t="shared" si="6"/>
        <v/>
      </c>
      <c r="U44" s="365" t="str">
        <f t="shared" si="7"/>
        <v/>
      </c>
      <c r="V44" s="372"/>
      <c r="W44" s="371"/>
      <c r="X44" s="367"/>
      <c r="Y44" s="352"/>
      <c r="Z44" s="352"/>
      <c r="AA44" s="352"/>
      <c r="AB44" s="352"/>
      <c r="AC44" s="352"/>
      <c r="AD44" s="371"/>
      <c r="AE44" s="378"/>
      <c r="AF44" s="537" t="str">
        <f t="shared" si="8"/>
        <v/>
      </c>
      <c r="AG44" s="535" t="str">
        <f t="shared" si="13"/>
        <v/>
      </c>
      <c r="AH44" s="533" t="str">
        <f t="shared" si="9"/>
        <v/>
      </c>
      <c r="AI44" s="228" t="str">
        <f>IF($C44="","",VLOOKUP($AH44,'3-1.標準報酬月額・保険料表'!$N$8:$O$57,2,TRUE))</f>
        <v/>
      </c>
      <c r="AJ44" s="172"/>
      <c r="AK44" s="172"/>
      <c r="AL44" s="228">
        <f t="shared" si="10"/>
        <v>0</v>
      </c>
    </row>
    <row r="45" spans="1:38" s="169" customFormat="1" ht="20.100000000000001" customHeight="1" x14ac:dyDescent="0.15">
      <c r="A45" s="170" t="str">
        <f t="shared" si="5"/>
        <v/>
      </c>
      <c r="B45" s="347"/>
      <c r="C45" s="348"/>
      <c r="D45" s="349"/>
      <c r="E45" s="349"/>
      <c r="F45" s="350"/>
      <c r="G45" s="351"/>
      <c r="H45" s="351"/>
      <c r="I45" s="171" t="str">
        <f t="shared" si="11"/>
        <v/>
      </c>
      <c r="J45" s="171" t="str">
        <f t="shared" si="0"/>
        <v/>
      </c>
      <c r="K45" s="171" t="str">
        <f t="shared" si="1"/>
        <v/>
      </c>
      <c r="L45" s="171" t="str">
        <f t="shared" si="2"/>
        <v/>
      </c>
      <c r="M45" s="352"/>
      <c r="N45" s="353"/>
      <c r="O45" s="225" t="str">
        <f t="shared" si="3"/>
        <v/>
      </c>
      <c r="P45" s="226" t="str">
        <f t="shared" si="4"/>
        <v/>
      </c>
      <c r="Q45" s="354"/>
      <c r="R45" s="354"/>
      <c r="S45" s="354" t="str">
        <f t="shared" si="12"/>
        <v/>
      </c>
      <c r="T45" s="228" t="str">
        <f t="shared" si="6"/>
        <v/>
      </c>
      <c r="U45" s="365" t="str">
        <f t="shared" si="7"/>
        <v/>
      </c>
      <c r="V45" s="372"/>
      <c r="W45" s="371"/>
      <c r="X45" s="367"/>
      <c r="Y45" s="352"/>
      <c r="Z45" s="352"/>
      <c r="AA45" s="352"/>
      <c r="AB45" s="352"/>
      <c r="AC45" s="352"/>
      <c r="AD45" s="371"/>
      <c r="AE45" s="378"/>
      <c r="AF45" s="537" t="str">
        <f t="shared" si="8"/>
        <v/>
      </c>
      <c r="AG45" s="535" t="str">
        <f t="shared" si="13"/>
        <v/>
      </c>
      <c r="AH45" s="533" t="str">
        <f t="shared" si="9"/>
        <v/>
      </c>
      <c r="AI45" s="228" t="str">
        <f>IF($C45="","",VLOOKUP($AH45,'3-1.標準報酬月額・保険料表'!$N$8:$O$57,2,TRUE))</f>
        <v/>
      </c>
      <c r="AJ45" s="172"/>
      <c r="AK45" s="172"/>
      <c r="AL45" s="228">
        <f t="shared" si="10"/>
        <v>0</v>
      </c>
    </row>
    <row r="46" spans="1:38" s="169" customFormat="1" ht="20.100000000000001" customHeight="1" x14ac:dyDescent="0.15">
      <c r="A46" s="170" t="str">
        <f t="shared" si="5"/>
        <v/>
      </c>
      <c r="B46" s="347"/>
      <c r="C46" s="348"/>
      <c r="D46" s="349"/>
      <c r="E46" s="349"/>
      <c r="F46" s="350"/>
      <c r="G46" s="351"/>
      <c r="H46" s="351"/>
      <c r="I46" s="171" t="str">
        <f t="shared" si="11"/>
        <v/>
      </c>
      <c r="J46" s="171" t="str">
        <f t="shared" si="0"/>
        <v/>
      </c>
      <c r="K46" s="171" t="str">
        <f t="shared" si="1"/>
        <v/>
      </c>
      <c r="L46" s="171" t="str">
        <f t="shared" si="2"/>
        <v/>
      </c>
      <c r="M46" s="352"/>
      <c r="N46" s="353"/>
      <c r="O46" s="225" t="str">
        <f t="shared" si="3"/>
        <v/>
      </c>
      <c r="P46" s="226" t="str">
        <f t="shared" si="4"/>
        <v/>
      </c>
      <c r="Q46" s="354"/>
      <c r="R46" s="354"/>
      <c r="S46" s="354" t="str">
        <f t="shared" si="12"/>
        <v/>
      </c>
      <c r="T46" s="228" t="str">
        <f t="shared" si="6"/>
        <v/>
      </c>
      <c r="U46" s="365" t="str">
        <f t="shared" si="7"/>
        <v/>
      </c>
      <c r="V46" s="372"/>
      <c r="W46" s="371"/>
      <c r="X46" s="367"/>
      <c r="Y46" s="352"/>
      <c r="Z46" s="352"/>
      <c r="AA46" s="352"/>
      <c r="AB46" s="352"/>
      <c r="AC46" s="352"/>
      <c r="AD46" s="371"/>
      <c r="AE46" s="378"/>
      <c r="AF46" s="537" t="str">
        <f t="shared" si="8"/>
        <v/>
      </c>
      <c r="AG46" s="535" t="str">
        <f t="shared" si="13"/>
        <v/>
      </c>
      <c r="AH46" s="533" t="str">
        <f t="shared" si="9"/>
        <v/>
      </c>
      <c r="AI46" s="228" t="str">
        <f>IF($C46="","",VLOOKUP($AH46,'3-1.標準報酬月額・保険料表'!$N$8:$O$57,2,TRUE))</f>
        <v/>
      </c>
      <c r="AJ46" s="172"/>
      <c r="AK46" s="172"/>
      <c r="AL46" s="228">
        <f t="shared" si="10"/>
        <v>0</v>
      </c>
    </row>
    <row r="47" spans="1:38" s="169" customFormat="1" ht="20.100000000000001" customHeight="1" x14ac:dyDescent="0.15">
      <c r="A47" s="170" t="str">
        <f t="shared" si="5"/>
        <v/>
      </c>
      <c r="B47" s="347"/>
      <c r="C47" s="348"/>
      <c r="D47" s="349"/>
      <c r="E47" s="349"/>
      <c r="F47" s="350"/>
      <c r="G47" s="351"/>
      <c r="H47" s="351"/>
      <c r="I47" s="171" t="str">
        <f t="shared" si="11"/>
        <v/>
      </c>
      <c r="J47" s="171" t="str">
        <f t="shared" si="0"/>
        <v/>
      </c>
      <c r="K47" s="171" t="str">
        <f t="shared" si="1"/>
        <v/>
      </c>
      <c r="L47" s="171" t="str">
        <f t="shared" si="2"/>
        <v/>
      </c>
      <c r="M47" s="352"/>
      <c r="N47" s="353"/>
      <c r="O47" s="225" t="str">
        <f t="shared" si="3"/>
        <v/>
      </c>
      <c r="P47" s="226" t="str">
        <f t="shared" si="4"/>
        <v/>
      </c>
      <c r="Q47" s="354"/>
      <c r="R47" s="354"/>
      <c r="S47" s="354" t="str">
        <f t="shared" si="12"/>
        <v/>
      </c>
      <c r="T47" s="228" t="str">
        <f t="shared" si="6"/>
        <v/>
      </c>
      <c r="U47" s="365" t="str">
        <f t="shared" si="7"/>
        <v/>
      </c>
      <c r="V47" s="372"/>
      <c r="W47" s="371"/>
      <c r="X47" s="367"/>
      <c r="Y47" s="352"/>
      <c r="Z47" s="352"/>
      <c r="AA47" s="352"/>
      <c r="AB47" s="352"/>
      <c r="AC47" s="352"/>
      <c r="AD47" s="371"/>
      <c r="AE47" s="378"/>
      <c r="AF47" s="537" t="str">
        <f t="shared" si="8"/>
        <v/>
      </c>
      <c r="AG47" s="535" t="str">
        <f t="shared" si="13"/>
        <v/>
      </c>
      <c r="AH47" s="533" t="str">
        <f t="shared" si="9"/>
        <v/>
      </c>
      <c r="AI47" s="228" t="str">
        <f>IF($C47="","",VLOOKUP($AH47,'3-1.標準報酬月額・保険料表'!$N$8:$O$57,2,TRUE))</f>
        <v/>
      </c>
      <c r="AJ47" s="172"/>
      <c r="AK47" s="172"/>
      <c r="AL47" s="228">
        <f t="shared" si="10"/>
        <v>0</v>
      </c>
    </row>
    <row r="48" spans="1:38" s="169" customFormat="1" ht="20.100000000000001" customHeight="1" x14ac:dyDescent="0.15">
      <c r="A48" s="170" t="str">
        <f t="shared" si="5"/>
        <v/>
      </c>
      <c r="B48" s="347"/>
      <c r="C48" s="348"/>
      <c r="D48" s="349"/>
      <c r="E48" s="349"/>
      <c r="F48" s="350"/>
      <c r="G48" s="351"/>
      <c r="H48" s="351"/>
      <c r="I48" s="171" t="str">
        <f t="shared" si="11"/>
        <v/>
      </c>
      <c r="J48" s="171" t="str">
        <f t="shared" si="0"/>
        <v/>
      </c>
      <c r="K48" s="171" t="str">
        <f t="shared" si="1"/>
        <v/>
      </c>
      <c r="L48" s="171" t="str">
        <f t="shared" si="2"/>
        <v/>
      </c>
      <c r="M48" s="352"/>
      <c r="N48" s="353"/>
      <c r="O48" s="225" t="str">
        <f t="shared" si="3"/>
        <v/>
      </c>
      <c r="P48" s="226" t="str">
        <f t="shared" si="4"/>
        <v/>
      </c>
      <c r="Q48" s="354"/>
      <c r="R48" s="354"/>
      <c r="S48" s="354" t="str">
        <f t="shared" si="12"/>
        <v/>
      </c>
      <c r="T48" s="228" t="str">
        <f t="shared" si="6"/>
        <v/>
      </c>
      <c r="U48" s="365" t="str">
        <f t="shared" si="7"/>
        <v/>
      </c>
      <c r="V48" s="372"/>
      <c r="W48" s="371"/>
      <c r="X48" s="367"/>
      <c r="Y48" s="352"/>
      <c r="Z48" s="352"/>
      <c r="AA48" s="352"/>
      <c r="AB48" s="352"/>
      <c r="AC48" s="352"/>
      <c r="AD48" s="371"/>
      <c r="AE48" s="378"/>
      <c r="AF48" s="537" t="str">
        <f t="shared" si="8"/>
        <v/>
      </c>
      <c r="AG48" s="535" t="str">
        <f t="shared" si="13"/>
        <v/>
      </c>
      <c r="AH48" s="533" t="str">
        <f t="shared" si="9"/>
        <v/>
      </c>
      <c r="AI48" s="228" t="str">
        <f>IF($C48="","",VLOOKUP($AH48,'3-1.標準報酬月額・保険料表'!$N$8:$O$57,2,TRUE))</f>
        <v/>
      </c>
      <c r="AJ48" s="172"/>
      <c r="AK48" s="172"/>
      <c r="AL48" s="228">
        <f t="shared" si="10"/>
        <v>0</v>
      </c>
    </row>
    <row r="49" spans="1:38" s="169" customFormat="1" ht="20.100000000000001" customHeight="1" x14ac:dyDescent="0.15">
      <c r="A49" s="170" t="str">
        <f t="shared" si="5"/>
        <v/>
      </c>
      <c r="B49" s="347"/>
      <c r="C49" s="348"/>
      <c r="D49" s="349"/>
      <c r="E49" s="349"/>
      <c r="F49" s="350"/>
      <c r="G49" s="351"/>
      <c r="H49" s="351"/>
      <c r="I49" s="171" t="str">
        <f t="shared" si="11"/>
        <v/>
      </c>
      <c r="J49" s="171" t="str">
        <f t="shared" si="0"/>
        <v/>
      </c>
      <c r="K49" s="171" t="str">
        <f t="shared" si="1"/>
        <v/>
      </c>
      <c r="L49" s="171" t="str">
        <f t="shared" si="2"/>
        <v/>
      </c>
      <c r="M49" s="352"/>
      <c r="N49" s="353"/>
      <c r="O49" s="225" t="str">
        <f t="shared" si="3"/>
        <v/>
      </c>
      <c r="P49" s="226" t="str">
        <f t="shared" si="4"/>
        <v/>
      </c>
      <c r="Q49" s="354"/>
      <c r="R49" s="354"/>
      <c r="S49" s="354" t="str">
        <f t="shared" si="12"/>
        <v/>
      </c>
      <c r="T49" s="228" t="str">
        <f t="shared" si="6"/>
        <v/>
      </c>
      <c r="U49" s="365" t="str">
        <f t="shared" si="7"/>
        <v/>
      </c>
      <c r="V49" s="372"/>
      <c r="W49" s="371"/>
      <c r="X49" s="367"/>
      <c r="Y49" s="352"/>
      <c r="Z49" s="352"/>
      <c r="AA49" s="352"/>
      <c r="AB49" s="352"/>
      <c r="AC49" s="352"/>
      <c r="AD49" s="371"/>
      <c r="AE49" s="378"/>
      <c r="AF49" s="537" t="str">
        <f t="shared" si="8"/>
        <v/>
      </c>
      <c r="AG49" s="535" t="str">
        <f t="shared" si="13"/>
        <v/>
      </c>
      <c r="AH49" s="533" t="str">
        <f t="shared" si="9"/>
        <v/>
      </c>
      <c r="AI49" s="228" t="str">
        <f>IF($C49="","",VLOOKUP($AH49,'3-1.標準報酬月額・保険料表'!$N$8:$O$57,2,TRUE))</f>
        <v/>
      </c>
      <c r="AJ49" s="172"/>
      <c r="AK49" s="172"/>
      <c r="AL49" s="228">
        <f t="shared" si="10"/>
        <v>0</v>
      </c>
    </row>
    <row r="50" spans="1:38" s="169" customFormat="1" ht="20.100000000000001" customHeight="1" x14ac:dyDescent="0.15">
      <c r="A50" s="170" t="str">
        <f t="shared" si="5"/>
        <v/>
      </c>
      <c r="B50" s="347"/>
      <c r="C50" s="348"/>
      <c r="D50" s="349"/>
      <c r="E50" s="349"/>
      <c r="F50" s="350"/>
      <c r="G50" s="351"/>
      <c r="H50" s="351"/>
      <c r="I50" s="171" t="str">
        <f t="shared" si="11"/>
        <v/>
      </c>
      <c r="J50" s="171" t="str">
        <f t="shared" si="0"/>
        <v/>
      </c>
      <c r="K50" s="171" t="str">
        <f t="shared" si="1"/>
        <v/>
      </c>
      <c r="L50" s="171" t="str">
        <f t="shared" si="2"/>
        <v/>
      </c>
      <c r="M50" s="352"/>
      <c r="N50" s="353"/>
      <c r="O50" s="225" t="str">
        <f t="shared" si="3"/>
        <v/>
      </c>
      <c r="P50" s="226" t="str">
        <f t="shared" si="4"/>
        <v/>
      </c>
      <c r="Q50" s="354"/>
      <c r="R50" s="354"/>
      <c r="S50" s="354" t="str">
        <f t="shared" si="12"/>
        <v/>
      </c>
      <c r="T50" s="228" t="str">
        <f t="shared" si="6"/>
        <v/>
      </c>
      <c r="U50" s="365" t="str">
        <f t="shared" si="7"/>
        <v/>
      </c>
      <c r="V50" s="372"/>
      <c r="W50" s="371"/>
      <c r="X50" s="367"/>
      <c r="Y50" s="352"/>
      <c r="Z50" s="352"/>
      <c r="AA50" s="352"/>
      <c r="AB50" s="352"/>
      <c r="AC50" s="352"/>
      <c r="AD50" s="371"/>
      <c r="AE50" s="378"/>
      <c r="AF50" s="537" t="str">
        <f t="shared" si="8"/>
        <v/>
      </c>
      <c r="AG50" s="535" t="str">
        <f t="shared" si="13"/>
        <v/>
      </c>
      <c r="AH50" s="533" t="str">
        <f t="shared" si="9"/>
        <v/>
      </c>
      <c r="AI50" s="228" t="str">
        <f>IF($C50="","",VLOOKUP($AH50,'3-1.標準報酬月額・保険料表'!$N$8:$O$57,2,TRUE))</f>
        <v/>
      </c>
      <c r="AJ50" s="172"/>
      <c r="AK50" s="172"/>
      <c r="AL50" s="228">
        <f t="shared" si="10"/>
        <v>0</v>
      </c>
    </row>
    <row r="51" spans="1:38" s="169" customFormat="1" ht="20.100000000000001" customHeight="1" x14ac:dyDescent="0.15">
      <c r="A51" s="170" t="str">
        <f t="shared" si="5"/>
        <v/>
      </c>
      <c r="B51" s="347"/>
      <c r="C51" s="348"/>
      <c r="D51" s="349"/>
      <c r="E51" s="349"/>
      <c r="F51" s="350"/>
      <c r="G51" s="351"/>
      <c r="H51" s="351"/>
      <c r="I51" s="171" t="str">
        <f t="shared" si="11"/>
        <v/>
      </c>
      <c r="J51" s="171" t="str">
        <f t="shared" si="0"/>
        <v/>
      </c>
      <c r="K51" s="171" t="str">
        <f t="shared" si="1"/>
        <v/>
      </c>
      <c r="L51" s="171" t="str">
        <f t="shared" si="2"/>
        <v/>
      </c>
      <c r="M51" s="352"/>
      <c r="N51" s="353"/>
      <c r="O51" s="225" t="str">
        <f t="shared" si="3"/>
        <v/>
      </c>
      <c r="P51" s="226" t="str">
        <f t="shared" si="4"/>
        <v/>
      </c>
      <c r="Q51" s="354"/>
      <c r="R51" s="354"/>
      <c r="S51" s="354" t="str">
        <f t="shared" si="12"/>
        <v/>
      </c>
      <c r="T51" s="228" t="str">
        <f t="shared" si="6"/>
        <v/>
      </c>
      <c r="U51" s="365" t="str">
        <f t="shared" si="7"/>
        <v/>
      </c>
      <c r="V51" s="372"/>
      <c r="W51" s="371"/>
      <c r="X51" s="367"/>
      <c r="Y51" s="352"/>
      <c r="Z51" s="352"/>
      <c r="AA51" s="352"/>
      <c r="AB51" s="352"/>
      <c r="AC51" s="352"/>
      <c r="AD51" s="371"/>
      <c r="AE51" s="378"/>
      <c r="AF51" s="537" t="str">
        <f t="shared" si="8"/>
        <v/>
      </c>
      <c r="AG51" s="535" t="str">
        <f t="shared" si="13"/>
        <v/>
      </c>
      <c r="AH51" s="533" t="str">
        <f t="shared" si="9"/>
        <v/>
      </c>
      <c r="AI51" s="228" t="str">
        <f>IF($C51="","",VLOOKUP($AH51,'3-1.標準報酬月額・保険料表'!$N$8:$O$57,2,TRUE))</f>
        <v/>
      </c>
      <c r="AJ51" s="172"/>
      <c r="AK51" s="172"/>
      <c r="AL51" s="228">
        <f t="shared" si="10"/>
        <v>0</v>
      </c>
    </row>
    <row r="52" spans="1:38" s="169" customFormat="1" ht="20.100000000000001" customHeight="1" x14ac:dyDescent="0.15">
      <c r="A52" s="170" t="str">
        <f t="shared" si="5"/>
        <v/>
      </c>
      <c r="B52" s="347"/>
      <c r="C52" s="348"/>
      <c r="D52" s="349"/>
      <c r="E52" s="349"/>
      <c r="F52" s="350"/>
      <c r="G52" s="351"/>
      <c r="H52" s="351"/>
      <c r="I52" s="171" t="str">
        <f t="shared" si="11"/>
        <v/>
      </c>
      <c r="J52" s="171" t="str">
        <f t="shared" si="0"/>
        <v/>
      </c>
      <c r="K52" s="171" t="str">
        <f t="shared" si="1"/>
        <v/>
      </c>
      <c r="L52" s="171" t="str">
        <f t="shared" si="2"/>
        <v/>
      </c>
      <c r="M52" s="352"/>
      <c r="N52" s="353"/>
      <c r="O52" s="225" t="str">
        <f t="shared" si="3"/>
        <v/>
      </c>
      <c r="P52" s="226" t="str">
        <f t="shared" si="4"/>
        <v/>
      </c>
      <c r="Q52" s="354"/>
      <c r="R52" s="354"/>
      <c r="S52" s="354" t="str">
        <f t="shared" si="12"/>
        <v/>
      </c>
      <c r="T52" s="228" t="str">
        <f t="shared" si="6"/>
        <v/>
      </c>
      <c r="U52" s="365" t="str">
        <f t="shared" si="7"/>
        <v/>
      </c>
      <c r="V52" s="372"/>
      <c r="W52" s="371"/>
      <c r="X52" s="367"/>
      <c r="Y52" s="352"/>
      <c r="Z52" s="352"/>
      <c r="AA52" s="352"/>
      <c r="AB52" s="352"/>
      <c r="AC52" s="352"/>
      <c r="AD52" s="371"/>
      <c r="AE52" s="378"/>
      <c r="AF52" s="537" t="str">
        <f t="shared" si="8"/>
        <v/>
      </c>
      <c r="AG52" s="535" t="str">
        <f t="shared" si="13"/>
        <v/>
      </c>
      <c r="AH52" s="533" t="str">
        <f t="shared" si="9"/>
        <v/>
      </c>
      <c r="AI52" s="228" t="str">
        <f>IF($C52="","",VLOOKUP($AH52,'3-1.標準報酬月額・保険料表'!$N$8:$O$57,2,TRUE))</f>
        <v/>
      </c>
      <c r="AJ52" s="172"/>
      <c r="AK52" s="172"/>
      <c r="AL52" s="228">
        <f t="shared" si="10"/>
        <v>0</v>
      </c>
    </row>
    <row r="53" spans="1:38" s="169" customFormat="1" ht="20.100000000000001" customHeight="1" x14ac:dyDescent="0.15">
      <c r="A53" s="170" t="str">
        <f t="shared" si="5"/>
        <v/>
      </c>
      <c r="B53" s="347"/>
      <c r="C53" s="348"/>
      <c r="D53" s="349"/>
      <c r="E53" s="349"/>
      <c r="F53" s="350"/>
      <c r="G53" s="351"/>
      <c r="H53" s="351"/>
      <c r="I53" s="171" t="str">
        <f t="shared" si="11"/>
        <v/>
      </c>
      <c r="J53" s="171" t="str">
        <f t="shared" si="0"/>
        <v/>
      </c>
      <c r="K53" s="171" t="str">
        <f t="shared" si="1"/>
        <v/>
      </c>
      <c r="L53" s="171" t="str">
        <f t="shared" si="2"/>
        <v/>
      </c>
      <c r="M53" s="352"/>
      <c r="N53" s="353"/>
      <c r="O53" s="225" t="str">
        <f t="shared" si="3"/>
        <v/>
      </c>
      <c r="P53" s="226" t="str">
        <f t="shared" si="4"/>
        <v/>
      </c>
      <c r="Q53" s="354"/>
      <c r="R53" s="354"/>
      <c r="S53" s="354" t="str">
        <f t="shared" si="12"/>
        <v/>
      </c>
      <c r="T53" s="228" t="str">
        <f t="shared" si="6"/>
        <v/>
      </c>
      <c r="U53" s="365" t="str">
        <f t="shared" si="7"/>
        <v/>
      </c>
      <c r="V53" s="372"/>
      <c r="W53" s="371"/>
      <c r="X53" s="367"/>
      <c r="Y53" s="352"/>
      <c r="Z53" s="352"/>
      <c r="AA53" s="352"/>
      <c r="AB53" s="352"/>
      <c r="AC53" s="352"/>
      <c r="AD53" s="371"/>
      <c r="AE53" s="378"/>
      <c r="AF53" s="537" t="str">
        <f t="shared" si="8"/>
        <v/>
      </c>
      <c r="AG53" s="535" t="str">
        <f t="shared" si="13"/>
        <v/>
      </c>
      <c r="AH53" s="533" t="str">
        <f t="shared" si="9"/>
        <v/>
      </c>
      <c r="AI53" s="228" t="str">
        <f>IF($C53="","",VLOOKUP($AH53,'3-1.標準報酬月額・保険料表'!$N$8:$O$57,2,TRUE))</f>
        <v/>
      </c>
      <c r="AJ53" s="172"/>
      <c r="AK53" s="172"/>
      <c r="AL53" s="228">
        <f t="shared" si="10"/>
        <v>0</v>
      </c>
    </row>
    <row r="54" spans="1:38" s="169" customFormat="1" ht="20.100000000000001" customHeight="1" x14ac:dyDescent="0.15">
      <c r="A54" s="170" t="str">
        <f t="shared" si="5"/>
        <v/>
      </c>
      <c r="B54" s="347"/>
      <c r="C54" s="348"/>
      <c r="D54" s="349"/>
      <c r="E54" s="349"/>
      <c r="F54" s="350"/>
      <c r="G54" s="351"/>
      <c r="H54" s="351"/>
      <c r="I54" s="171" t="str">
        <f t="shared" si="11"/>
        <v/>
      </c>
      <c r="J54" s="171" t="str">
        <f t="shared" si="0"/>
        <v/>
      </c>
      <c r="K54" s="171" t="str">
        <f t="shared" si="1"/>
        <v/>
      </c>
      <c r="L54" s="171" t="str">
        <f t="shared" si="2"/>
        <v/>
      </c>
      <c r="M54" s="352"/>
      <c r="N54" s="353"/>
      <c r="O54" s="225" t="str">
        <f t="shared" si="3"/>
        <v/>
      </c>
      <c r="P54" s="226" t="str">
        <f t="shared" si="4"/>
        <v/>
      </c>
      <c r="Q54" s="354"/>
      <c r="R54" s="354"/>
      <c r="S54" s="354" t="str">
        <f t="shared" si="12"/>
        <v/>
      </c>
      <c r="T54" s="228" t="str">
        <f t="shared" si="6"/>
        <v/>
      </c>
      <c r="U54" s="365" t="str">
        <f t="shared" si="7"/>
        <v/>
      </c>
      <c r="V54" s="372"/>
      <c r="W54" s="371"/>
      <c r="X54" s="367"/>
      <c r="Y54" s="352"/>
      <c r="Z54" s="352"/>
      <c r="AA54" s="352"/>
      <c r="AB54" s="352"/>
      <c r="AC54" s="352"/>
      <c r="AD54" s="371"/>
      <c r="AE54" s="378"/>
      <c r="AF54" s="537" t="str">
        <f t="shared" si="8"/>
        <v/>
      </c>
      <c r="AG54" s="535" t="str">
        <f t="shared" si="13"/>
        <v/>
      </c>
      <c r="AH54" s="533" t="str">
        <f t="shared" si="9"/>
        <v/>
      </c>
      <c r="AI54" s="228" t="str">
        <f>IF($C54="","",VLOOKUP($AH54,'3-1.標準報酬月額・保険料表'!$N$8:$O$57,2,TRUE))</f>
        <v/>
      </c>
      <c r="AJ54" s="172"/>
      <c r="AK54" s="172"/>
      <c r="AL54" s="228">
        <f t="shared" si="10"/>
        <v>0</v>
      </c>
    </row>
    <row r="55" spans="1:38" s="169" customFormat="1" ht="20.100000000000001" customHeight="1" x14ac:dyDescent="0.15">
      <c r="A55" s="170" t="str">
        <f t="shared" si="5"/>
        <v/>
      </c>
      <c r="B55" s="347"/>
      <c r="C55" s="348"/>
      <c r="D55" s="349"/>
      <c r="E55" s="349"/>
      <c r="F55" s="350"/>
      <c r="G55" s="351"/>
      <c r="H55" s="351"/>
      <c r="I55" s="171" t="str">
        <f t="shared" si="11"/>
        <v/>
      </c>
      <c r="J55" s="171" t="str">
        <f t="shared" si="0"/>
        <v/>
      </c>
      <c r="K55" s="171" t="str">
        <f t="shared" si="1"/>
        <v/>
      </c>
      <c r="L55" s="171" t="str">
        <f t="shared" si="2"/>
        <v/>
      </c>
      <c r="M55" s="352"/>
      <c r="N55" s="353"/>
      <c r="O55" s="225" t="str">
        <f t="shared" si="3"/>
        <v/>
      </c>
      <c r="P55" s="226" t="str">
        <f t="shared" si="4"/>
        <v/>
      </c>
      <c r="Q55" s="354"/>
      <c r="R55" s="354"/>
      <c r="S55" s="354" t="str">
        <f t="shared" si="12"/>
        <v/>
      </c>
      <c r="T55" s="228" t="str">
        <f t="shared" si="6"/>
        <v/>
      </c>
      <c r="U55" s="365" t="str">
        <f t="shared" si="7"/>
        <v/>
      </c>
      <c r="V55" s="372"/>
      <c r="W55" s="371"/>
      <c r="X55" s="367"/>
      <c r="Y55" s="352"/>
      <c r="Z55" s="352"/>
      <c r="AA55" s="352"/>
      <c r="AB55" s="352"/>
      <c r="AC55" s="352"/>
      <c r="AD55" s="371"/>
      <c r="AE55" s="378"/>
      <c r="AF55" s="537" t="str">
        <f t="shared" si="8"/>
        <v/>
      </c>
      <c r="AG55" s="535" t="str">
        <f t="shared" si="13"/>
        <v/>
      </c>
      <c r="AH55" s="533" t="str">
        <f t="shared" si="9"/>
        <v/>
      </c>
      <c r="AI55" s="228" t="str">
        <f>IF($C55="","",VLOOKUP($AH55,'3-1.標準報酬月額・保険料表'!$N$8:$O$57,2,TRUE))</f>
        <v/>
      </c>
      <c r="AJ55" s="172"/>
      <c r="AK55" s="172"/>
      <c r="AL55" s="228">
        <f t="shared" si="10"/>
        <v>0</v>
      </c>
    </row>
    <row r="56" spans="1:38" s="169" customFormat="1" ht="20.100000000000001" customHeight="1" x14ac:dyDescent="0.15">
      <c r="A56" s="170" t="str">
        <f t="shared" si="5"/>
        <v/>
      </c>
      <c r="B56" s="347"/>
      <c r="C56" s="348"/>
      <c r="D56" s="349"/>
      <c r="E56" s="349"/>
      <c r="F56" s="350"/>
      <c r="G56" s="351"/>
      <c r="H56" s="351"/>
      <c r="I56" s="171" t="str">
        <f t="shared" si="11"/>
        <v/>
      </c>
      <c r="J56" s="171" t="str">
        <f t="shared" si="0"/>
        <v/>
      </c>
      <c r="K56" s="171" t="str">
        <f t="shared" si="1"/>
        <v/>
      </c>
      <c r="L56" s="171" t="str">
        <f t="shared" si="2"/>
        <v/>
      </c>
      <c r="M56" s="352"/>
      <c r="N56" s="353"/>
      <c r="O56" s="225" t="str">
        <f t="shared" si="3"/>
        <v/>
      </c>
      <c r="P56" s="226" t="str">
        <f t="shared" si="4"/>
        <v/>
      </c>
      <c r="Q56" s="354"/>
      <c r="R56" s="354"/>
      <c r="S56" s="354" t="str">
        <f t="shared" si="12"/>
        <v/>
      </c>
      <c r="T56" s="228" t="str">
        <f t="shared" si="6"/>
        <v/>
      </c>
      <c r="U56" s="365" t="str">
        <f t="shared" si="7"/>
        <v/>
      </c>
      <c r="V56" s="372"/>
      <c r="W56" s="371"/>
      <c r="X56" s="367"/>
      <c r="Y56" s="352"/>
      <c r="Z56" s="352"/>
      <c r="AA56" s="352"/>
      <c r="AB56" s="352"/>
      <c r="AC56" s="352"/>
      <c r="AD56" s="371"/>
      <c r="AE56" s="378"/>
      <c r="AF56" s="537" t="str">
        <f t="shared" si="8"/>
        <v/>
      </c>
      <c r="AG56" s="535" t="str">
        <f t="shared" si="13"/>
        <v/>
      </c>
      <c r="AH56" s="533" t="str">
        <f t="shared" si="9"/>
        <v/>
      </c>
      <c r="AI56" s="228" t="str">
        <f>IF($C56="","",VLOOKUP($AH56,'3-1.標準報酬月額・保険料表'!$N$8:$O$57,2,TRUE))</f>
        <v/>
      </c>
      <c r="AJ56" s="172"/>
      <c r="AK56" s="172"/>
      <c r="AL56" s="228">
        <f t="shared" si="10"/>
        <v>0</v>
      </c>
    </row>
    <row r="57" spans="1:38" s="169" customFormat="1" ht="20.100000000000001" customHeight="1" x14ac:dyDescent="0.15">
      <c r="A57" s="170" t="str">
        <f t="shared" si="5"/>
        <v/>
      </c>
      <c r="B57" s="347"/>
      <c r="C57" s="348"/>
      <c r="D57" s="349"/>
      <c r="E57" s="349"/>
      <c r="F57" s="350"/>
      <c r="G57" s="351"/>
      <c r="H57" s="351"/>
      <c r="I57" s="171" t="str">
        <f t="shared" si="11"/>
        <v/>
      </c>
      <c r="J57" s="171" t="str">
        <f t="shared" si="0"/>
        <v/>
      </c>
      <c r="K57" s="171" t="str">
        <f t="shared" si="1"/>
        <v/>
      </c>
      <c r="L57" s="171" t="str">
        <f t="shared" si="2"/>
        <v/>
      </c>
      <c r="M57" s="352"/>
      <c r="N57" s="353"/>
      <c r="O57" s="225" t="str">
        <f t="shared" si="3"/>
        <v/>
      </c>
      <c r="P57" s="226" t="str">
        <f t="shared" si="4"/>
        <v/>
      </c>
      <c r="Q57" s="354"/>
      <c r="R57" s="354"/>
      <c r="S57" s="354" t="str">
        <f t="shared" si="12"/>
        <v/>
      </c>
      <c r="T57" s="228" t="str">
        <f t="shared" si="6"/>
        <v/>
      </c>
      <c r="U57" s="365" t="str">
        <f t="shared" si="7"/>
        <v/>
      </c>
      <c r="V57" s="372"/>
      <c r="W57" s="371"/>
      <c r="X57" s="367"/>
      <c r="Y57" s="352"/>
      <c r="Z57" s="352"/>
      <c r="AA57" s="352"/>
      <c r="AB57" s="352"/>
      <c r="AC57" s="352"/>
      <c r="AD57" s="371"/>
      <c r="AE57" s="378"/>
      <c r="AF57" s="537" t="str">
        <f t="shared" si="8"/>
        <v/>
      </c>
      <c r="AG57" s="535" t="str">
        <f t="shared" si="13"/>
        <v/>
      </c>
      <c r="AH57" s="533" t="str">
        <f t="shared" si="9"/>
        <v/>
      </c>
      <c r="AI57" s="228" t="str">
        <f>IF($C57="","",VLOOKUP($AH57,'3-1.標準報酬月額・保険料表'!$N$8:$O$57,2,TRUE))</f>
        <v/>
      </c>
      <c r="AJ57" s="172"/>
      <c r="AK57" s="172"/>
      <c r="AL57" s="228">
        <f t="shared" si="10"/>
        <v>0</v>
      </c>
    </row>
    <row r="58" spans="1:38" s="169" customFormat="1" ht="20.100000000000001" customHeight="1" x14ac:dyDescent="0.15">
      <c r="A58" s="170" t="str">
        <f t="shared" si="5"/>
        <v/>
      </c>
      <c r="B58" s="347"/>
      <c r="C58" s="348"/>
      <c r="D58" s="349"/>
      <c r="E58" s="349"/>
      <c r="F58" s="350"/>
      <c r="G58" s="351"/>
      <c r="H58" s="351"/>
      <c r="I58" s="171" t="str">
        <f t="shared" si="11"/>
        <v/>
      </c>
      <c r="J58" s="171" t="str">
        <f t="shared" si="0"/>
        <v/>
      </c>
      <c r="K58" s="171" t="str">
        <f t="shared" si="1"/>
        <v/>
      </c>
      <c r="L58" s="171" t="str">
        <f t="shared" si="2"/>
        <v/>
      </c>
      <c r="M58" s="352"/>
      <c r="N58" s="353"/>
      <c r="O58" s="225" t="str">
        <f t="shared" si="3"/>
        <v/>
      </c>
      <c r="P58" s="226" t="str">
        <f t="shared" si="4"/>
        <v/>
      </c>
      <c r="Q58" s="354"/>
      <c r="R58" s="354"/>
      <c r="S58" s="354" t="str">
        <f t="shared" si="12"/>
        <v/>
      </c>
      <c r="T58" s="228" t="str">
        <f t="shared" si="6"/>
        <v/>
      </c>
      <c r="U58" s="365" t="str">
        <f t="shared" si="7"/>
        <v/>
      </c>
      <c r="V58" s="372"/>
      <c r="W58" s="371"/>
      <c r="X58" s="367"/>
      <c r="Y58" s="352"/>
      <c r="Z58" s="352"/>
      <c r="AA58" s="352"/>
      <c r="AB58" s="352"/>
      <c r="AC58" s="352"/>
      <c r="AD58" s="371"/>
      <c r="AE58" s="378"/>
      <c r="AF58" s="537" t="str">
        <f t="shared" si="8"/>
        <v/>
      </c>
      <c r="AG58" s="535" t="str">
        <f t="shared" si="13"/>
        <v/>
      </c>
      <c r="AH58" s="533" t="str">
        <f t="shared" si="9"/>
        <v/>
      </c>
      <c r="AI58" s="228" t="str">
        <f>IF($C58="","",VLOOKUP($AH58,'3-1.標準報酬月額・保険料表'!$N$8:$O$57,2,TRUE))</f>
        <v/>
      </c>
      <c r="AJ58" s="172"/>
      <c r="AK58" s="172"/>
      <c r="AL58" s="228">
        <f t="shared" si="10"/>
        <v>0</v>
      </c>
    </row>
    <row r="59" spans="1:38" s="169" customFormat="1" ht="20.100000000000001" customHeight="1" x14ac:dyDescent="0.15">
      <c r="A59" s="170" t="str">
        <f t="shared" si="5"/>
        <v/>
      </c>
      <c r="B59" s="347"/>
      <c r="C59" s="348"/>
      <c r="D59" s="349"/>
      <c r="E59" s="349"/>
      <c r="F59" s="350"/>
      <c r="G59" s="351"/>
      <c r="H59" s="351"/>
      <c r="I59" s="171" t="str">
        <f t="shared" si="11"/>
        <v/>
      </c>
      <c r="J59" s="171" t="str">
        <f t="shared" si="0"/>
        <v/>
      </c>
      <c r="K59" s="171" t="str">
        <f t="shared" si="1"/>
        <v/>
      </c>
      <c r="L59" s="171" t="str">
        <f t="shared" si="2"/>
        <v/>
      </c>
      <c r="M59" s="352"/>
      <c r="N59" s="353"/>
      <c r="O59" s="225" t="str">
        <f t="shared" si="3"/>
        <v/>
      </c>
      <c r="P59" s="226" t="str">
        <f t="shared" si="4"/>
        <v/>
      </c>
      <c r="Q59" s="354"/>
      <c r="R59" s="354"/>
      <c r="S59" s="354" t="str">
        <f t="shared" si="12"/>
        <v/>
      </c>
      <c r="T59" s="228" t="str">
        <f t="shared" si="6"/>
        <v/>
      </c>
      <c r="U59" s="365" t="str">
        <f t="shared" si="7"/>
        <v/>
      </c>
      <c r="V59" s="372"/>
      <c r="W59" s="371"/>
      <c r="X59" s="367"/>
      <c r="Y59" s="352"/>
      <c r="Z59" s="352"/>
      <c r="AA59" s="352"/>
      <c r="AB59" s="352"/>
      <c r="AC59" s="352"/>
      <c r="AD59" s="371"/>
      <c r="AE59" s="378"/>
      <c r="AF59" s="537" t="str">
        <f t="shared" si="8"/>
        <v/>
      </c>
      <c r="AG59" s="535" t="str">
        <f t="shared" si="13"/>
        <v/>
      </c>
      <c r="AH59" s="533" t="str">
        <f t="shared" si="9"/>
        <v/>
      </c>
      <c r="AI59" s="228" t="str">
        <f>IF($C59="","",VLOOKUP($AH59,'3-1.標準報酬月額・保険料表'!$N$8:$O$57,2,TRUE))</f>
        <v/>
      </c>
      <c r="AJ59" s="172"/>
      <c r="AK59" s="172"/>
      <c r="AL59" s="228">
        <f t="shared" si="10"/>
        <v>0</v>
      </c>
    </row>
    <row r="60" spans="1:38" s="169" customFormat="1" ht="20.100000000000001" customHeight="1" x14ac:dyDescent="0.15">
      <c r="A60" s="170" t="str">
        <f t="shared" si="5"/>
        <v/>
      </c>
      <c r="B60" s="347"/>
      <c r="C60" s="348"/>
      <c r="D60" s="349"/>
      <c r="E60" s="349"/>
      <c r="F60" s="350"/>
      <c r="G60" s="351"/>
      <c r="H60" s="351"/>
      <c r="I60" s="171" t="str">
        <f t="shared" si="11"/>
        <v/>
      </c>
      <c r="J60" s="171" t="str">
        <f t="shared" si="0"/>
        <v/>
      </c>
      <c r="K60" s="171" t="str">
        <f t="shared" si="1"/>
        <v/>
      </c>
      <c r="L60" s="171" t="str">
        <f t="shared" si="2"/>
        <v/>
      </c>
      <c r="M60" s="352"/>
      <c r="N60" s="353"/>
      <c r="O60" s="225" t="str">
        <f t="shared" si="3"/>
        <v/>
      </c>
      <c r="P60" s="226" t="str">
        <f t="shared" si="4"/>
        <v/>
      </c>
      <c r="Q60" s="354"/>
      <c r="R60" s="354"/>
      <c r="S60" s="354" t="str">
        <f t="shared" si="12"/>
        <v/>
      </c>
      <c r="T60" s="228" t="str">
        <f t="shared" si="6"/>
        <v/>
      </c>
      <c r="U60" s="365" t="str">
        <f t="shared" si="7"/>
        <v/>
      </c>
      <c r="V60" s="372"/>
      <c r="W60" s="371"/>
      <c r="X60" s="367"/>
      <c r="Y60" s="352"/>
      <c r="Z60" s="352"/>
      <c r="AA60" s="352"/>
      <c r="AB60" s="352"/>
      <c r="AC60" s="352"/>
      <c r="AD60" s="371"/>
      <c r="AE60" s="378"/>
      <c r="AF60" s="537" t="str">
        <f t="shared" si="8"/>
        <v/>
      </c>
      <c r="AG60" s="535" t="str">
        <f t="shared" si="13"/>
        <v/>
      </c>
      <c r="AH60" s="533" t="str">
        <f t="shared" si="9"/>
        <v/>
      </c>
      <c r="AI60" s="228" t="str">
        <f>IF($C60="","",VLOOKUP($AH60,'3-1.標準報酬月額・保険料表'!$N$8:$O$57,2,TRUE))</f>
        <v/>
      </c>
      <c r="AJ60" s="172"/>
      <c r="AK60" s="172"/>
      <c r="AL60" s="228">
        <f t="shared" si="10"/>
        <v>0</v>
      </c>
    </row>
    <row r="61" spans="1:38" s="169" customFormat="1" ht="20.100000000000001" customHeight="1" x14ac:dyDescent="0.15">
      <c r="A61" s="170" t="str">
        <f t="shared" si="5"/>
        <v/>
      </c>
      <c r="B61" s="347"/>
      <c r="C61" s="348"/>
      <c r="D61" s="349"/>
      <c r="E61" s="349"/>
      <c r="F61" s="350"/>
      <c r="G61" s="351"/>
      <c r="H61" s="351"/>
      <c r="I61" s="171" t="str">
        <f t="shared" si="11"/>
        <v/>
      </c>
      <c r="J61" s="171" t="str">
        <f t="shared" si="0"/>
        <v/>
      </c>
      <c r="K61" s="171" t="str">
        <f t="shared" si="1"/>
        <v/>
      </c>
      <c r="L61" s="171" t="str">
        <f t="shared" si="2"/>
        <v/>
      </c>
      <c r="M61" s="352"/>
      <c r="N61" s="353"/>
      <c r="O61" s="225" t="str">
        <f t="shared" si="3"/>
        <v/>
      </c>
      <c r="P61" s="226" t="str">
        <f t="shared" si="4"/>
        <v/>
      </c>
      <c r="Q61" s="354"/>
      <c r="R61" s="354"/>
      <c r="S61" s="354" t="str">
        <f t="shared" si="12"/>
        <v/>
      </c>
      <c r="T61" s="228" t="str">
        <f t="shared" si="6"/>
        <v/>
      </c>
      <c r="U61" s="365" t="str">
        <f t="shared" si="7"/>
        <v/>
      </c>
      <c r="V61" s="372"/>
      <c r="W61" s="371"/>
      <c r="X61" s="367"/>
      <c r="Y61" s="352"/>
      <c r="Z61" s="352"/>
      <c r="AA61" s="352"/>
      <c r="AB61" s="352"/>
      <c r="AC61" s="352"/>
      <c r="AD61" s="371"/>
      <c r="AE61" s="378"/>
      <c r="AF61" s="537" t="str">
        <f t="shared" si="8"/>
        <v/>
      </c>
      <c r="AG61" s="535" t="str">
        <f t="shared" si="13"/>
        <v/>
      </c>
      <c r="AH61" s="533" t="str">
        <f t="shared" si="9"/>
        <v/>
      </c>
      <c r="AI61" s="228" t="str">
        <f>IF($C61="","",VLOOKUP($AH61,'3-1.標準報酬月額・保険料表'!$N$8:$O$57,2,TRUE))</f>
        <v/>
      </c>
      <c r="AJ61" s="172"/>
      <c r="AK61" s="172"/>
      <c r="AL61" s="228">
        <f t="shared" si="10"/>
        <v>0</v>
      </c>
    </row>
    <row r="62" spans="1:38" s="169" customFormat="1" ht="20.100000000000001" customHeight="1" x14ac:dyDescent="0.15">
      <c r="A62" s="170" t="str">
        <f t="shared" si="5"/>
        <v/>
      </c>
      <c r="B62" s="347"/>
      <c r="C62" s="348"/>
      <c r="D62" s="349"/>
      <c r="E62" s="349"/>
      <c r="F62" s="350"/>
      <c r="G62" s="351"/>
      <c r="H62" s="351"/>
      <c r="I62" s="171" t="str">
        <f t="shared" si="11"/>
        <v/>
      </c>
      <c r="J62" s="171" t="str">
        <f t="shared" si="0"/>
        <v/>
      </c>
      <c r="K62" s="171" t="str">
        <f t="shared" si="1"/>
        <v/>
      </c>
      <c r="L62" s="171" t="str">
        <f t="shared" si="2"/>
        <v/>
      </c>
      <c r="M62" s="352"/>
      <c r="N62" s="353"/>
      <c r="O62" s="225" t="str">
        <f t="shared" si="3"/>
        <v/>
      </c>
      <c r="P62" s="226" t="str">
        <f t="shared" si="4"/>
        <v/>
      </c>
      <c r="Q62" s="354"/>
      <c r="R62" s="354"/>
      <c r="S62" s="354" t="str">
        <f t="shared" si="12"/>
        <v/>
      </c>
      <c r="T62" s="228" t="str">
        <f t="shared" si="6"/>
        <v/>
      </c>
      <c r="U62" s="365" t="str">
        <f t="shared" si="7"/>
        <v/>
      </c>
      <c r="V62" s="372"/>
      <c r="W62" s="371"/>
      <c r="X62" s="367"/>
      <c r="Y62" s="352"/>
      <c r="Z62" s="352"/>
      <c r="AA62" s="352"/>
      <c r="AB62" s="352"/>
      <c r="AC62" s="352"/>
      <c r="AD62" s="371"/>
      <c r="AE62" s="378"/>
      <c r="AF62" s="537" t="str">
        <f t="shared" si="8"/>
        <v/>
      </c>
      <c r="AG62" s="535" t="str">
        <f t="shared" si="13"/>
        <v/>
      </c>
      <c r="AH62" s="533" t="str">
        <f t="shared" si="9"/>
        <v/>
      </c>
      <c r="AI62" s="228" t="str">
        <f>IF($C62="","",VLOOKUP($AH62,'3-1.標準報酬月額・保険料表'!$N$8:$O$57,2,TRUE))</f>
        <v/>
      </c>
      <c r="AJ62" s="172"/>
      <c r="AK62" s="172"/>
      <c r="AL62" s="228">
        <f t="shared" si="10"/>
        <v>0</v>
      </c>
    </row>
    <row r="63" spans="1:38" s="169" customFormat="1" ht="20.100000000000001" customHeight="1" x14ac:dyDescent="0.15">
      <c r="A63" s="170" t="str">
        <f t="shared" si="5"/>
        <v/>
      </c>
      <c r="B63" s="347"/>
      <c r="C63" s="348"/>
      <c r="D63" s="349"/>
      <c r="E63" s="349"/>
      <c r="F63" s="350"/>
      <c r="G63" s="351"/>
      <c r="H63" s="351"/>
      <c r="I63" s="171" t="str">
        <f t="shared" si="11"/>
        <v/>
      </c>
      <c r="J63" s="171" t="str">
        <f t="shared" si="0"/>
        <v/>
      </c>
      <c r="K63" s="171" t="str">
        <f t="shared" si="1"/>
        <v/>
      </c>
      <c r="L63" s="171" t="str">
        <f t="shared" si="2"/>
        <v/>
      </c>
      <c r="M63" s="352"/>
      <c r="N63" s="353"/>
      <c r="O63" s="225" t="str">
        <f t="shared" si="3"/>
        <v/>
      </c>
      <c r="P63" s="226" t="str">
        <f t="shared" si="4"/>
        <v/>
      </c>
      <c r="Q63" s="354"/>
      <c r="R63" s="354"/>
      <c r="S63" s="354" t="str">
        <f t="shared" si="12"/>
        <v/>
      </c>
      <c r="T63" s="228" t="str">
        <f t="shared" si="6"/>
        <v/>
      </c>
      <c r="U63" s="365" t="str">
        <f t="shared" si="7"/>
        <v/>
      </c>
      <c r="V63" s="372"/>
      <c r="W63" s="371"/>
      <c r="X63" s="367"/>
      <c r="Y63" s="352"/>
      <c r="Z63" s="352"/>
      <c r="AA63" s="352"/>
      <c r="AB63" s="352"/>
      <c r="AC63" s="352"/>
      <c r="AD63" s="371"/>
      <c r="AE63" s="378"/>
      <c r="AF63" s="537" t="str">
        <f t="shared" si="8"/>
        <v/>
      </c>
      <c r="AG63" s="535" t="str">
        <f t="shared" si="13"/>
        <v/>
      </c>
      <c r="AH63" s="533" t="str">
        <f t="shared" si="9"/>
        <v/>
      </c>
      <c r="AI63" s="228" t="str">
        <f>IF($C63="","",VLOOKUP($AH63,'3-1.標準報酬月額・保険料表'!$N$8:$O$57,2,TRUE))</f>
        <v/>
      </c>
      <c r="AJ63" s="172"/>
      <c r="AK63" s="172"/>
      <c r="AL63" s="228">
        <f t="shared" si="10"/>
        <v>0</v>
      </c>
    </row>
    <row r="64" spans="1:38" s="169" customFormat="1" ht="20.100000000000001" customHeight="1" x14ac:dyDescent="0.15">
      <c r="A64" s="170" t="str">
        <f t="shared" si="5"/>
        <v/>
      </c>
      <c r="B64" s="347"/>
      <c r="C64" s="348"/>
      <c r="D64" s="349"/>
      <c r="E64" s="349"/>
      <c r="F64" s="350"/>
      <c r="G64" s="351"/>
      <c r="H64" s="351"/>
      <c r="I64" s="171" t="str">
        <f t="shared" si="11"/>
        <v/>
      </c>
      <c r="J64" s="171" t="str">
        <f t="shared" si="0"/>
        <v/>
      </c>
      <c r="K64" s="171" t="str">
        <f t="shared" si="1"/>
        <v/>
      </c>
      <c r="L64" s="171" t="str">
        <f t="shared" si="2"/>
        <v/>
      </c>
      <c r="M64" s="352"/>
      <c r="N64" s="353"/>
      <c r="O64" s="225" t="str">
        <f t="shared" si="3"/>
        <v/>
      </c>
      <c r="P64" s="226" t="str">
        <f t="shared" si="4"/>
        <v/>
      </c>
      <c r="Q64" s="354"/>
      <c r="R64" s="354"/>
      <c r="S64" s="354" t="str">
        <f t="shared" si="12"/>
        <v/>
      </c>
      <c r="T64" s="228" t="str">
        <f t="shared" si="6"/>
        <v/>
      </c>
      <c r="U64" s="365" t="str">
        <f t="shared" si="7"/>
        <v/>
      </c>
      <c r="V64" s="372"/>
      <c r="W64" s="371"/>
      <c r="X64" s="367"/>
      <c r="Y64" s="352"/>
      <c r="Z64" s="352"/>
      <c r="AA64" s="352"/>
      <c r="AB64" s="352"/>
      <c r="AC64" s="352"/>
      <c r="AD64" s="371"/>
      <c r="AE64" s="378"/>
      <c r="AF64" s="537" t="str">
        <f t="shared" si="8"/>
        <v/>
      </c>
      <c r="AG64" s="535" t="str">
        <f t="shared" si="13"/>
        <v/>
      </c>
      <c r="AH64" s="533" t="str">
        <f t="shared" si="9"/>
        <v/>
      </c>
      <c r="AI64" s="228" t="str">
        <f>IF($C64="","",VLOOKUP($AH64,'3-1.標準報酬月額・保険料表'!$N$8:$O$57,2,TRUE))</f>
        <v/>
      </c>
      <c r="AJ64" s="172"/>
      <c r="AK64" s="172"/>
      <c r="AL64" s="228">
        <f t="shared" si="10"/>
        <v>0</v>
      </c>
    </row>
    <row r="65" spans="1:38" s="169" customFormat="1" ht="20.100000000000001" customHeight="1" x14ac:dyDescent="0.15">
      <c r="A65" s="170" t="str">
        <f t="shared" si="5"/>
        <v/>
      </c>
      <c r="B65" s="347"/>
      <c r="C65" s="348"/>
      <c r="D65" s="349"/>
      <c r="E65" s="349"/>
      <c r="F65" s="350"/>
      <c r="G65" s="351"/>
      <c r="H65" s="351"/>
      <c r="I65" s="171" t="str">
        <f t="shared" si="11"/>
        <v/>
      </c>
      <c r="J65" s="171" t="str">
        <f t="shared" si="0"/>
        <v/>
      </c>
      <c r="K65" s="171" t="str">
        <f t="shared" si="1"/>
        <v/>
      </c>
      <c r="L65" s="171" t="str">
        <f t="shared" si="2"/>
        <v/>
      </c>
      <c r="M65" s="352"/>
      <c r="N65" s="353"/>
      <c r="O65" s="225" t="str">
        <f t="shared" si="3"/>
        <v/>
      </c>
      <c r="P65" s="226" t="str">
        <f t="shared" si="4"/>
        <v/>
      </c>
      <c r="Q65" s="354"/>
      <c r="R65" s="354"/>
      <c r="S65" s="354" t="str">
        <f t="shared" si="12"/>
        <v/>
      </c>
      <c r="T65" s="228" t="str">
        <f t="shared" si="6"/>
        <v/>
      </c>
      <c r="U65" s="365" t="str">
        <f t="shared" si="7"/>
        <v/>
      </c>
      <c r="V65" s="372"/>
      <c r="W65" s="371"/>
      <c r="X65" s="367"/>
      <c r="Y65" s="352"/>
      <c r="Z65" s="352"/>
      <c r="AA65" s="352"/>
      <c r="AB65" s="352"/>
      <c r="AC65" s="352"/>
      <c r="AD65" s="371"/>
      <c r="AE65" s="378"/>
      <c r="AF65" s="537" t="str">
        <f t="shared" si="8"/>
        <v/>
      </c>
      <c r="AG65" s="535" t="str">
        <f t="shared" si="13"/>
        <v/>
      </c>
      <c r="AH65" s="533" t="str">
        <f t="shared" si="9"/>
        <v/>
      </c>
      <c r="AI65" s="228" t="str">
        <f>IF($C65="","",VLOOKUP($AH65,'3-1.標準報酬月額・保険料表'!$N$8:$O$57,2,TRUE))</f>
        <v/>
      </c>
      <c r="AJ65" s="172"/>
      <c r="AK65" s="172"/>
      <c r="AL65" s="228">
        <f t="shared" si="10"/>
        <v>0</v>
      </c>
    </row>
    <row r="66" spans="1:38" s="169" customFormat="1" ht="20.100000000000001" customHeight="1" x14ac:dyDescent="0.15">
      <c r="A66" s="170" t="str">
        <f t="shared" si="5"/>
        <v/>
      </c>
      <c r="B66" s="347"/>
      <c r="C66" s="348"/>
      <c r="D66" s="349"/>
      <c r="E66" s="349"/>
      <c r="F66" s="350"/>
      <c r="G66" s="351"/>
      <c r="H66" s="351"/>
      <c r="I66" s="171" t="str">
        <f t="shared" si="11"/>
        <v/>
      </c>
      <c r="J66" s="171" t="str">
        <f t="shared" si="0"/>
        <v/>
      </c>
      <c r="K66" s="171" t="str">
        <f t="shared" si="1"/>
        <v/>
      </c>
      <c r="L66" s="171" t="str">
        <f t="shared" si="2"/>
        <v/>
      </c>
      <c r="M66" s="352"/>
      <c r="N66" s="353"/>
      <c r="O66" s="225" t="str">
        <f t="shared" si="3"/>
        <v/>
      </c>
      <c r="P66" s="226" t="str">
        <f t="shared" si="4"/>
        <v/>
      </c>
      <c r="Q66" s="354"/>
      <c r="R66" s="354"/>
      <c r="S66" s="354" t="str">
        <f t="shared" si="12"/>
        <v/>
      </c>
      <c r="T66" s="228" t="str">
        <f t="shared" si="6"/>
        <v/>
      </c>
      <c r="U66" s="365" t="str">
        <f t="shared" si="7"/>
        <v/>
      </c>
      <c r="V66" s="372"/>
      <c r="W66" s="371"/>
      <c r="X66" s="367"/>
      <c r="Y66" s="352"/>
      <c r="Z66" s="352"/>
      <c r="AA66" s="352"/>
      <c r="AB66" s="352"/>
      <c r="AC66" s="352"/>
      <c r="AD66" s="371"/>
      <c r="AE66" s="378"/>
      <c r="AF66" s="537" t="str">
        <f t="shared" si="8"/>
        <v/>
      </c>
      <c r="AG66" s="535" t="str">
        <f t="shared" si="13"/>
        <v/>
      </c>
      <c r="AH66" s="533" t="str">
        <f t="shared" si="9"/>
        <v/>
      </c>
      <c r="AI66" s="228" t="str">
        <f>IF($C66="","",VLOOKUP($AH66,'3-1.標準報酬月額・保険料表'!$N$8:$O$57,2,TRUE))</f>
        <v/>
      </c>
      <c r="AJ66" s="172"/>
      <c r="AK66" s="172"/>
      <c r="AL66" s="228">
        <f t="shared" si="10"/>
        <v>0</v>
      </c>
    </row>
    <row r="67" spans="1:38" s="169" customFormat="1" ht="20.100000000000001" customHeight="1" x14ac:dyDescent="0.15">
      <c r="A67" s="170" t="str">
        <f t="shared" si="5"/>
        <v/>
      </c>
      <c r="B67" s="347"/>
      <c r="C67" s="348"/>
      <c r="D67" s="349"/>
      <c r="E67" s="349"/>
      <c r="F67" s="350"/>
      <c r="G67" s="351"/>
      <c r="H67" s="351"/>
      <c r="I67" s="171" t="str">
        <f t="shared" si="11"/>
        <v/>
      </c>
      <c r="J67" s="171" t="str">
        <f t="shared" si="0"/>
        <v/>
      </c>
      <c r="K67" s="171" t="str">
        <f t="shared" si="1"/>
        <v/>
      </c>
      <c r="L67" s="171" t="str">
        <f t="shared" si="2"/>
        <v/>
      </c>
      <c r="M67" s="352"/>
      <c r="N67" s="353"/>
      <c r="O67" s="225" t="str">
        <f t="shared" si="3"/>
        <v/>
      </c>
      <c r="P67" s="226" t="str">
        <f t="shared" si="4"/>
        <v/>
      </c>
      <c r="Q67" s="354"/>
      <c r="R67" s="354"/>
      <c r="S67" s="354" t="str">
        <f t="shared" si="12"/>
        <v/>
      </c>
      <c r="T67" s="228" t="str">
        <f t="shared" si="6"/>
        <v/>
      </c>
      <c r="U67" s="365" t="str">
        <f t="shared" si="7"/>
        <v/>
      </c>
      <c r="V67" s="372"/>
      <c r="W67" s="371"/>
      <c r="X67" s="367"/>
      <c r="Y67" s="352"/>
      <c r="Z67" s="352"/>
      <c r="AA67" s="352"/>
      <c r="AB67" s="352"/>
      <c r="AC67" s="352"/>
      <c r="AD67" s="371"/>
      <c r="AE67" s="378"/>
      <c r="AF67" s="537" t="str">
        <f t="shared" si="8"/>
        <v/>
      </c>
      <c r="AG67" s="535" t="str">
        <f t="shared" si="13"/>
        <v/>
      </c>
      <c r="AH67" s="533" t="str">
        <f t="shared" si="9"/>
        <v/>
      </c>
      <c r="AI67" s="228" t="str">
        <f>IF($C67="","",VLOOKUP($AH67,'3-1.標準報酬月額・保険料表'!$N$8:$O$57,2,TRUE))</f>
        <v/>
      </c>
      <c r="AJ67" s="172"/>
      <c r="AK67" s="172"/>
      <c r="AL67" s="228">
        <f t="shared" si="10"/>
        <v>0</v>
      </c>
    </row>
    <row r="68" spans="1:38" s="169" customFormat="1" ht="20.100000000000001" customHeight="1" x14ac:dyDescent="0.15">
      <c r="A68" s="170" t="str">
        <f t="shared" si="5"/>
        <v/>
      </c>
      <c r="B68" s="347"/>
      <c r="C68" s="348"/>
      <c r="D68" s="349"/>
      <c r="E68" s="349"/>
      <c r="F68" s="350"/>
      <c r="G68" s="351"/>
      <c r="H68" s="351"/>
      <c r="I68" s="171" t="str">
        <f t="shared" si="11"/>
        <v/>
      </c>
      <c r="J68" s="171" t="str">
        <f t="shared" si="0"/>
        <v/>
      </c>
      <c r="K68" s="171" t="str">
        <f t="shared" si="1"/>
        <v/>
      </c>
      <c r="L68" s="171" t="str">
        <f t="shared" si="2"/>
        <v/>
      </c>
      <c r="M68" s="352"/>
      <c r="N68" s="353"/>
      <c r="O68" s="225" t="str">
        <f t="shared" si="3"/>
        <v/>
      </c>
      <c r="P68" s="226" t="str">
        <f t="shared" si="4"/>
        <v/>
      </c>
      <c r="Q68" s="354"/>
      <c r="R68" s="354"/>
      <c r="S68" s="354" t="str">
        <f t="shared" si="12"/>
        <v/>
      </c>
      <c r="T68" s="228" t="str">
        <f t="shared" si="6"/>
        <v/>
      </c>
      <c r="U68" s="365" t="str">
        <f t="shared" si="7"/>
        <v/>
      </c>
      <c r="V68" s="372"/>
      <c r="W68" s="371"/>
      <c r="X68" s="367"/>
      <c r="Y68" s="352"/>
      <c r="Z68" s="352"/>
      <c r="AA68" s="352"/>
      <c r="AB68" s="352"/>
      <c r="AC68" s="352"/>
      <c r="AD68" s="371"/>
      <c r="AE68" s="378"/>
      <c r="AF68" s="537" t="str">
        <f t="shared" si="8"/>
        <v/>
      </c>
      <c r="AG68" s="535" t="str">
        <f t="shared" si="13"/>
        <v/>
      </c>
      <c r="AH68" s="533" t="str">
        <f t="shared" si="9"/>
        <v/>
      </c>
      <c r="AI68" s="228" t="str">
        <f>IF($C68="","",VLOOKUP($AH68,'3-1.標準報酬月額・保険料表'!$N$8:$O$57,2,TRUE))</f>
        <v/>
      </c>
      <c r="AJ68" s="172"/>
      <c r="AK68" s="172"/>
      <c r="AL68" s="228">
        <f t="shared" si="10"/>
        <v>0</v>
      </c>
    </row>
    <row r="69" spans="1:38" s="169" customFormat="1" ht="20.100000000000001" customHeight="1" x14ac:dyDescent="0.15">
      <c r="A69" s="170" t="str">
        <f t="shared" si="5"/>
        <v/>
      </c>
      <c r="B69" s="347"/>
      <c r="C69" s="348"/>
      <c r="D69" s="349"/>
      <c r="E69" s="349"/>
      <c r="F69" s="350"/>
      <c r="G69" s="351"/>
      <c r="H69" s="351"/>
      <c r="I69" s="171" t="str">
        <f t="shared" si="11"/>
        <v/>
      </c>
      <c r="J69" s="171" t="str">
        <f t="shared" si="0"/>
        <v/>
      </c>
      <c r="K69" s="171" t="str">
        <f t="shared" si="1"/>
        <v/>
      </c>
      <c r="L69" s="171" t="str">
        <f t="shared" si="2"/>
        <v/>
      </c>
      <c r="M69" s="352"/>
      <c r="N69" s="353"/>
      <c r="O69" s="225" t="str">
        <f t="shared" si="3"/>
        <v/>
      </c>
      <c r="P69" s="226" t="str">
        <f t="shared" si="4"/>
        <v/>
      </c>
      <c r="Q69" s="354"/>
      <c r="R69" s="354"/>
      <c r="S69" s="354" t="str">
        <f t="shared" si="12"/>
        <v/>
      </c>
      <c r="T69" s="228" t="str">
        <f t="shared" si="6"/>
        <v/>
      </c>
      <c r="U69" s="365" t="str">
        <f t="shared" si="7"/>
        <v/>
      </c>
      <c r="V69" s="372"/>
      <c r="W69" s="371"/>
      <c r="X69" s="367"/>
      <c r="Y69" s="352"/>
      <c r="Z69" s="352"/>
      <c r="AA69" s="352"/>
      <c r="AB69" s="352"/>
      <c r="AC69" s="352"/>
      <c r="AD69" s="371"/>
      <c r="AE69" s="378"/>
      <c r="AF69" s="537" t="str">
        <f t="shared" si="8"/>
        <v/>
      </c>
      <c r="AG69" s="535" t="str">
        <f t="shared" si="13"/>
        <v/>
      </c>
      <c r="AH69" s="533" t="str">
        <f t="shared" si="9"/>
        <v/>
      </c>
      <c r="AI69" s="228" t="str">
        <f>IF($C69="","",VLOOKUP($AH69,'3-1.標準報酬月額・保険料表'!$N$8:$O$57,2,TRUE))</f>
        <v/>
      </c>
      <c r="AJ69" s="172"/>
      <c r="AK69" s="172"/>
      <c r="AL69" s="228">
        <f t="shared" si="10"/>
        <v>0</v>
      </c>
    </row>
    <row r="70" spans="1:38" s="169" customFormat="1" ht="20.100000000000001" customHeight="1" x14ac:dyDescent="0.15">
      <c r="A70" s="170" t="str">
        <f t="shared" si="5"/>
        <v/>
      </c>
      <c r="B70" s="347"/>
      <c r="C70" s="348"/>
      <c r="D70" s="349"/>
      <c r="E70" s="349"/>
      <c r="F70" s="350"/>
      <c r="G70" s="351"/>
      <c r="H70" s="351"/>
      <c r="I70" s="171" t="str">
        <f t="shared" si="11"/>
        <v/>
      </c>
      <c r="J70" s="171" t="str">
        <f t="shared" si="0"/>
        <v/>
      </c>
      <c r="K70" s="171" t="str">
        <f t="shared" si="1"/>
        <v/>
      </c>
      <c r="L70" s="171" t="str">
        <f t="shared" si="2"/>
        <v/>
      </c>
      <c r="M70" s="352"/>
      <c r="N70" s="353"/>
      <c r="O70" s="225" t="str">
        <f t="shared" si="3"/>
        <v/>
      </c>
      <c r="P70" s="226" t="str">
        <f t="shared" si="4"/>
        <v/>
      </c>
      <c r="Q70" s="354"/>
      <c r="R70" s="354"/>
      <c r="S70" s="354" t="str">
        <f t="shared" si="12"/>
        <v/>
      </c>
      <c r="T70" s="228" t="str">
        <f t="shared" si="6"/>
        <v/>
      </c>
      <c r="U70" s="365" t="str">
        <f t="shared" si="7"/>
        <v/>
      </c>
      <c r="V70" s="372"/>
      <c r="W70" s="371"/>
      <c r="X70" s="367"/>
      <c r="Y70" s="352"/>
      <c r="Z70" s="352"/>
      <c r="AA70" s="352"/>
      <c r="AB70" s="352"/>
      <c r="AC70" s="352"/>
      <c r="AD70" s="371"/>
      <c r="AE70" s="378"/>
      <c r="AF70" s="537" t="str">
        <f t="shared" si="8"/>
        <v/>
      </c>
      <c r="AG70" s="535" t="str">
        <f t="shared" si="13"/>
        <v/>
      </c>
      <c r="AH70" s="533" t="str">
        <f t="shared" si="9"/>
        <v/>
      </c>
      <c r="AI70" s="228" t="str">
        <f>IF($C70="","",VLOOKUP($AH70,'3-1.標準報酬月額・保険料表'!$N$8:$O$57,2,TRUE))</f>
        <v/>
      </c>
      <c r="AJ70" s="172"/>
      <c r="AK70" s="172"/>
      <c r="AL70" s="228">
        <f t="shared" si="10"/>
        <v>0</v>
      </c>
    </row>
    <row r="71" spans="1:38" s="169" customFormat="1" ht="20.100000000000001" customHeight="1" x14ac:dyDescent="0.15">
      <c r="A71" s="170" t="str">
        <f t="shared" si="5"/>
        <v/>
      </c>
      <c r="B71" s="347"/>
      <c r="C71" s="348"/>
      <c r="D71" s="349"/>
      <c r="E71" s="349"/>
      <c r="F71" s="350"/>
      <c r="G71" s="351"/>
      <c r="H71" s="351"/>
      <c r="I71" s="171" t="str">
        <f t="shared" si="11"/>
        <v/>
      </c>
      <c r="J71" s="171" t="str">
        <f t="shared" si="0"/>
        <v/>
      </c>
      <c r="K71" s="171" t="str">
        <f t="shared" si="1"/>
        <v/>
      </c>
      <c r="L71" s="171" t="str">
        <f t="shared" si="2"/>
        <v/>
      </c>
      <c r="M71" s="352"/>
      <c r="N71" s="353"/>
      <c r="O71" s="225" t="str">
        <f t="shared" si="3"/>
        <v/>
      </c>
      <c r="P71" s="226" t="str">
        <f t="shared" si="4"/>
        <v/>
      </c>
      <c r="Q71" s="354"/>
      <c r="R71" s="354"/>
      <c r="S71" s="354" t="str">
        <f t="shared" si="12"/>
        <v/>
      </c>
      <c r="T71" s="228" t="str">
        <f t="shared" si="6"/>
        <v/>
      </c>
      <c r="U71" s="365" t="str">
        <f t="shared" si="7"/>
        <v/>
      </c>
      <c r="V71" s="372"/>
      <c r="W71" s="371"/>
      <c r="X71" s="367"/>
      <c r="Y71" s="352"/>
      <c r="Z71" s="352"/>
      <c r="AA71" s="352"/>
      <c r="AB71" s="352"/>
      <c r="AC71" s="352"/>
      <c r="AD71" s="371"/>
      <c r="AE71" s="378"/>
      <c r="AF71" s="537" t="str">
        <f t="shared" si="8"/>
        <v/>
      </c>
      <c r="AG71" s="535" t="str">
        <f t="shared" si="13"/>
        <v/>
      </c>
      <c r="AH71" s="533" t="str">
        <f t="shared" si="9"/>
        <v/>
      </c>
      <c r="AI71" s="228" t="str">
        <f>IF($C71="","",VLOOKUP($AH71,'3-1.標準報酬月額・保険料表'!$N$8:$O$57,2,TRUE))</f>
        <v/>
      </c>
      <c r="AJ71" s="172"/>
      <c r="AK71" s="172"/>
      <c r="AL71" s="228">
        <f t="shared" si="10"/>
        <v>0</v>
      </c>
    </row>
    <row r="72" spans="1:38" s="169" customFormat="1" ht="20.100000000000001" customHeight="1" x14ac:dyDescent="0.15">
      <c r="A72" s="170" t="str">
        <f t="shared" si="5"/>
        <v/>
      </c>
      <c r="B72" s="347"/>
      <c r="C72" s="348"/>
      <c r="D72" s="349"/>
      <c r="E72" s="349"/>
      <c r="F72" s="350"/>
      <c r="G72" s="351"/>
      <c r="H72" s="351"/>
      <c r="I72" s="171" t="str">
        <f t="shared" si="11"/>
        <v/>
      </c>
      <c r="J72" s="171" t="str">
        <f t="shared" si="0"/>
        <v/>
      </c>
      <c r="K72" s="171" t="str">
        <f t="shared" si="1"/>
        <v/>
      </c>
      <c r="L72" s="171" t="str">
        <f t="shared" si="2"/>
        <v/>
      </c>
      <c r="M72" s="352"/>
      <c r="N72" s="353"/>
      <c r="O72" s="225" t="str">
        <f t="shared" si="3"/>
        <v/>
      </c>
      <c r="P72" s="226" t="str">
        <f t="shared" si="4"/>
        <v/>
      </c>
      <c r="Q72" s="354"/>
      <c r="R72" s="354"/>
      <c r="S72" s="354" t="str">
        <f t="shared" si="12"/>
        <v/>
      </c>
      <c r="T72" s="228" t="str">
        <f t="shared" si="6"/>
        <v/>
      </c>
      <c r="U72" s="365" t="str">
        <f t="shared" si="7"/>
        <v/>
      </c>
      <c r="V72" s="372"/>
      <c r="W72" s="371"/>
      <c r="X72" s="367"/>
      <c r="Y72" s="352"/>
      <c r="Z72" s="352"/>
      <c r="AA72" s="352"/>
      <c r="AB72" s="352"/>
      <c r="AC72" s="352"/>
      <c r="AD72" s="371"/>
      <c r="AE72" s="378"/>
      <c r="AF72" s="537" t="str">
        <f t="shared" si="8"/>
        <v/>
      </c>
      <c r="AG72" s="535" t="str">
        <f t="shared" si="13"/>
        <v/>
      </c>
      <c r="AH72" s="533" t="str">
        <f t="shared" si="9"/>
        <v/>
      </c>
      <c r="AI72" s="228" t="str">
        <f>IF($C72="","",VLOOKUP($AH72,'3-1.標準報酬月額・保険料表'!$N$8:$O$57,2,TRUE))</f>
        <v/>
      </c>
      <c r="AJ72" s="172"/>
      <c r="AK72" s="172"/>
      <c r="AL72" s="228">
        <f t="shared" si="10"/>
        <v>0</v>
      </c>
    </row>
    <row r="73" spans="1:38" s="169" customFormat="1" ht="20.100000000000001" customHeight="1" x14ac:dyDescent="0.15">
      <c r="A73" s="170" t="str">
        <f t="shared" si="5"/>
        <v/>
      </c>
      <c r="B73" s="347"/>
      <c r="C73" s="348"/>
      <c r="D73" s="349"/>
      <c r="E73" s="349"/>
      <c r="F73" s="350"/>
      <c r="G73" s="351"/>
      <c r="H73" s="351"/>
      <c r="I73" s="171" t="str">
        <f t="shared" si="11"/>
        <v/>
      </c>
      <c r="J73" s="171" t="str">
        <f t="shared" si="0"/>
        <v/>
      </c>
      <c r="K73" s="171" t="str">
        <f t="shared" si="1"/>
        <v/>
      </c>
      <c r="L73" s="171" t="str">
        <f t="shared" si="2"/>
        <v/>
      </c>
      <c r="M73" s="352"/>
      <c r="N73" s="353"/>
      <c r="O73" s="225" t="str">
        <f t="shared" si="3"/>
        <v/>
      </c>
      <c r="P73" s="226" t="str">
        <f t="shared" si="4"/>
        <v/>
      </c>
      <c r="Q73" s="354"/>
      <c r="R73" s="354"/>
      <c r="S73" s="354" t="str">
        <f t="shared" si="12"/>
        <v/>
      </c>
      <c r="T73" s="228" t="str">
        <f t="shared" si="6"/>
        <v/>
      </c>
      <c r="U73" s="365" t="str">
        <f t="shared" si="7"/>
        <v/>
      </c>
      <c r="V73" s="372"/>
      <c r="W73" s="371"/>
      <c r="X73" s="367"/>
      <c r="Y73" s="352"/>
      <c r="Z73" s="352"/>
      <c r="AA73" s="352"/>
      <c r="AB73" s="352"/>
      <c r="AC73" s="352"/>
      <c r="AD73" s="371"/>
      <c r="AE73" s="378"/>
      <c r="AF73" s="537" t="str">
        <f t="shared" si="8"/>
        <v/>
      </c>
      <c r="AG73" s="535" t="str">
        <f t="shared" si="13"/>
        <v/>
      </c>
      <c r="AH73" s="533" t="str">
        <f t="shared" si="9"/>
        <v/>
      </c>
      <c r="AI73" s="228" t="str">
        <f>IF($C73="","",VLOOKUP($AH73,'3-1.標準報酬月額・保険料表'!$N$8:$O$57,2,TRUE))</f>
        <v/>
      </c>
      <c r="AJ73" s="172"/>
      <c r="AK73" s="172"/>
      <c r="AL73" s="228">
        <f t="shared" si="10"/>
        <v>0</v>
      </c>
    </row>
    <row r="74" spans="1:38" s="169" customFormat="1" ht="20.100000000000001" customHeight="1" x14ac:dyDescent="0.15">
      <c r="A74" s="170" t="str">
        <f t="shared" si="5"/>
        <v/>
      </c>
      <c r="B74" s="347"/>
      <c r="C74" s="348"/>
      <c r="D74" s="349"/>
      <c r="E74" s="349"/>
      <c r="F74" s="350"/>
      <c r="G74" s="351"/>
      <c r="H74" s="351"/>
      <c r="I74" s="171" t="str">
        <f t="shared" si="11"/>
        <v/>
      </c>
      <c r="J74" s="171" t="str">
        <f t="shared" ref="J74:J109" si="14">IF(G74="","",DATEDIF(G74-1,$I$4,"YM"))</f>
        <v/>
      </c>
      <c r="K74" s="171" t="str">
        <f t="shared" ref="K74:K109" si="15">IF(H74="","",DATEDIF(H74-1,$I$4,"Y"))</f>
        <v/>
      </c>
      <c r="L74" s="171" t="str">
        <f t="shared" ref="L74:L109" si="16">IF(H74="","",DATEDIF(H74-1,$I$4,"YM"))</f>
        <v/>
      </c>
      <c r="M74" s="352"/>
      <c r="N74" s="353"/>
      <c r="O74" s="225" t="str">
        <f t="shared" si="3"/>
        <v/>
      </c>
      <c r="P74" s="226" t="str">
        <f t="shared" si="4"/>
        <v/>
      </c>
      <c r="Q74" s="354"/>
      <c r="R74" s="354"/>
      <c r="S74" s="354" t="str">
        <f t="shared" si="12"/>
        <v/>
      </c>
      <c r="T74" s="228" t="str">
        <f t="shared" si="6"/>
        <v/>
      </c>
      <c r="U74" s="365" t="str">
        <f t="shared" si="7"/>
        <v/>
      </c>
      <c r="V74" s="372"/>
      <c r="W74" s="371"/>
      <c r="X74" s="367"/>
      <c r="Y74" s="352"/>
      <c r="Z74" s="352"/>
      <c r="AA74" s="352"/>
      <c r="AB74" s="352"/>
      <c r="AC74" s="352"/>
      <c r="AD74" s="371"/>
      <c r="AE74" s="378"/>
      <c r="AF74" s="537" t="str">
        <f t="shared" si="8"/>
        <v/>
      </c>
      <c r="AG74" s="535" t="str">
        <f t="shared" si="13"/>
        <v/>
      </c>
      <c r="AH74" s="533" t="str">
        <f t="shared" si="9"/>
        <v/>
      </c>
      <c r="AI74" s="228" t="str">
        <f>IF($C74="","",VLOOKUP($AH74,'3-1.標準報酬月額・保険料表'!$N$8:$O$57,2,TRUE))</f>
        <v/>
      </c>
      <c r="AJ74" s="172"/>
      <c r="AK74" s="172"/>
      <c r="AL74" s="228">
        <f t="shared" ref="AL74:AL109" si="17">IF($AJ74+$AK74=0,0,AJ74+$AK74)</f>
        <v>0</v>
      </c>
    </row>
    <row r="75" spans="1:38" s="169" customFormat="1" ht="20.100000000000001" customHeight="1" x14ac:dyDescent="0.15">
      <c r="A75" s="170" t="str">
        <f t="shared" ref="A75:A109" si="18">IF(D75="","",A74+1)</f>
        <v/>
      </c>
      <c r="B75" s="347"/>
      <c r="C75" s="348"/>
      <c r="D75" s="349"/>
      <c r="E75" s="349"/>
      <c r="F75" s="350"/>
      <c r="G75" s="351"/>
      <c r="H75" s="351"/>
      <c r="I75" s="171" t="str">
        <f t="shared" si="11"/>
        <v/>
      </c>
      <c r="J75" s="171" t="str">
        <f t="shared" si="14"/>
        <v/>
      </c>
      <c r="K75" s="171" t="str">
        <f t="shared" si="15"/>
        <v/>
      </c>
      <c r="L75" s="171" t="str">
        <f t="shared" si="16"/>
        <v/>
      </c>
      <c r="M75" s="352"/>
      <c r="N75" s="353"/>
      <c r="O75" s="225" t="str">
        <f t="shared" ref="O75:O109" si="19">IF($C75="","",$M75*$N75)</f>
        <v/>
      </c>
      <c r="P75" s="226" t="str">
        <f t="shared" ref="P75:P109" si="20">IF($O75="","",365/7*$O75)</f>
        <v/>
      </c>
      <c r="Q75" s="354"/>
      <c r="R75" s="354"/>
      <c r="S75" s="354" t="str">
        <f t="shared" ref="S75:S109" si="21">IF($Q75="","",$Q75+$R75)</f>
        <v/>
      </c>
      <c r="T75" s="228" t="str">
        <f t="shared" ref="T75:T109" si="22">IF($Q75="","",$P75*$Q75)</f>
        <v/>
      </c>
      <c r="U75" s="365" t="str">
        <f t="shared" ref="U75:U109" si="23">IF($Q75="","",$T75/12)</f>
        <v/>
      </c>
      <c r="V75" s="372"/>
      <c r="W75" s="371"/>
      <c r="X75" s="367"/>
      <c r="Y75" s="352"/>
      <c r="Z75" s="352"/>
      <c r="AA75" s="352"/>
      <c r="AB75" s="352"/>
      <c r="AC75" s="352"/>
      <c r="AD75" s="371"/>
      <c r="AE75" s="378"/>
      <c r="AF75" s="537" t="str">
        <f t="shared" ref="AF75:AF109" si="24">IF($Q75="","",SUM($U75:$W75))</f>
        <v/>
      </c>
      <c r="AG75" s="535" t="str">
        <f t="shared" ref="AG75:AG109" si="25">IF($Q75="","",SUM($U75:$AD75))</f>
        <v/>
      </c>
      <c r="AH75" s="533" t="str">
        <f t="shared" ref="AH75:AH109" si="26">IF($Q75="","",SUM($U75:$AE75))</f>
        <v/>
      </c>
      <c r="AI75" s="228" t="str">
        <f>IF($C75="","",VLOOKUP($AH75,'3-1.標準報酬月額・保険料表'!$N$8:$O$57,2,TRUE))</f>
        <v/>
      </c>
      <c r="AJ75" s="172"/>
      <c r="AK75" s="172"/>
      <c r="AL75" s="228">
        <f t="shared" si="17"/>
        <v>0</v>
      </c>
    </row>
    <row r="76" spans="1:38" s="169" customFormat="1" ht="20.100000000000001" customHeight="1" x14ac:dyDescent="0.15">
      <c r="A76" s="170" t="str">
        <f t="shared" si="18"/>
        <v/>
      </c>
      <c r="B76" s="347"/>
      <c r="C76" s="348"/>
      <c r="D76" s="349"/>
      <c r="E76" s="349"/>
      <c r="F76" s="350"/>
      <c r="G76" s="351"/>
      <c r="H76" s="351"/>
      <c r="I76" s="171" t="str">
        <f t="shared" ref="I76:I109" si="27">IF(G76="","",DATEDIF(G76-1,$I$4,"Y"))</f>
        <v/>
      </c>
      <c r="J76" s="171" t="str">
        <f t="shared" si="14"/>
        <v/>
      </c>
      <c r="K76" s="171" t="str">
        <f t="shared" si="15"/>
        <v/>
      </c>
      <c r="L76" s="171" t="str">
        <f t="shared" si="16"/>
        <v/>
      </c>
      <c r="M76" s="352"/>
      <c r="N76" s="353"/>
      <c r="O76" s="225" t="str">
        <f t="shared" si="19"/>
        <v/>
      </c>
      <c r="P76" s="226" t="str">
        <f t="shared" si="20"/>
        <v/>
      </c>
      <c r="Q76" s="354"/>
      <c r="R76" s="354"/>
      <c r="S76" s="354" t="str">
        <f t="shared" si="21"/>
        <v/>
      </c>
      <c r="T76" s="228" t="str">
        <f t="shared" si="22"/>
        <v/>
      </c>
      <c r="U76" s="365" t="str">
        <f t="shared" si="23"/>
        <v/>
      </c>
      <c r="V76" s="372"/>
      <c r="W76" s="371"/>
      <c r="X76" s="367"/>
      <c r="Y76" s="352"/>
      <c r="Z76" s="352"/>
      <c r="AA76" s="352"/>
      <c r="AB76" s="352"/>
      <c r="AC76" s="352"/>
      <c r="AD76" s="371"/>
      <c r="AE76" s="378"/>
      <c r="AF76" s="537" t="str">
        <f t="shared" si="24"/>
        <v/>
      </c>
      <c r="AG76" s="535" t="str">
        <f t="shared" si="25"/>
        <v/>
      </c>
      <c r="AH76" s="533" t="str">
        <f t="shared" si="26"/>
        <v/>
      </c>
      <c r="AI76" s="228" t="str">
        <f>IF($C76="","",VLOOKUP($AH76,'3-1.標準報酬月額・保険料表'!$N$8:$O$57,2,TRUE))</f>
        <v/>
      </c>
      <c r="AJ76" s="172"/>
      <c r="AK76" s="172"/>
      <c r="AL76" s="228">
        <f t="shared" si="17"/>
        <v>0</v>
      </c>
    </row>
    <row r="77" spans="1:38" s="169" customFormat="1" ht="20.100000000000001" customHeight="1" x14ac:dyDescent="0.15">
      <c r="A77" s="170" t="str">
        <f t="shared" si="18"/>
        <v/>
      </c>
      <c r="B77" s="347"/>
      <c r="C77" s="348"/>
      <c r="D77" s="349"/>
      <c r="E77" s="349"/>
      <c r="F77" s="350"/>
      <c r="G77" s="351"/>
      <c r="H77" s="351"/>
      <c r="I77" s="171" t="str">
        <f t="shared" si="27"/>
        <v/>
      </c>
      <c r="J77" s="171" t="str">
        <f t="shared" si="14"/>
        <v/>
      </c>
      <c r="K77" s="171" t="str">
        <f t="shared" si="15"/>
        <v/>
      </c>
      <c r="L77" s="171" t="str">
        <f t="shared" si="16"/>
        <v/>
      </c>
      <c r="M77" s="352"/>
      <c r="N77" s="353"/>
      <c r="O77" s="225" t="str">
        <f t="shared" si="19"/>
        <v/>
      </c>
      <c r="P77" s="226" t="str">
        <f t="shared" si="20"/>
        <v/>
      </c>
      <c r="Q77" s="354"/>
      <c r="R77" s="354"/>
      <c r="S77" s="354" t="str">
        <f t="shared" si="21"/>
        <v/>
      </c>
      <c r="T77" s="228" t="str">
        <f t="shared" si="22"/>
        <v/>
      </c>
      <c r="U77" s="365" t="str">
        <f t="shared" si="23"/>
        <v/>
      </c>
      <c r="V77" s="372"/>
      <c r="W77" s="371"/>
      <c r="X77" s="367"/>
      <c r="Y77" s="352"/>
      <c r="Z77" s="352"/>
      <c r="AA77" s="352"/>
      <c r="AB77" s="352"/>
      <c r="AC77" s="352"/>
      <c r="AD77" s="371"/>
      <c r="AE77" s="378"/>
      <c r="AF77" s="537" t="str">
        <f t="shared" si="24"/>
        <v/>
      </c>
      <c r="AG77" s="535" t="str">
        <f t="shared" si="25"/>
        <v/>
      </c>
      <c r="AH77" s="533" t="str">
        <f t="shared" si="26"/>
        <v/>
      </c>
      <c r="AI77" s="228" t="str">
        <f>IF($C77="","",VLOOKUP($AH77,'3-1.標準報酬月額・保険料表'!$N$8:$O$57,2,TRUE))</f>
        <v/>
      </c>
      <c r="AJ77" s="172"/>
      <c r="AK77" s="172"/>
      <c r="AL77" s="228">
        <f t="shared" si="17"/>
        <v>0</v>
      </c>
    </row>
    <row r="78" spans="1:38" s="169" customFormat="1" ht="20.100000000000001" customHeight="1" x14ac:dyDescent="0.15">
      <c r="A78" s="170" t="str">
        <f t="shared" si="18"/>
        <v/>
      </c>
      <c r="B78" s="347"/>
      <c r="C78" s="348"/>
      <c r="D78" s="349"/>
      <c r="E78" s="349"/>
      <c r="F78" s="350"/>
      <c r="G78" s="351"/>
      <c r="H78" s="351"/>
      <c r="I78" s="171" t="str">
        <f t="shared" si="27"/>
        <v/>
      </c>
      <c r="J78" s="171" t="str">
        <f t="shared" si="14"/>
        <v/>
      </c>
      <c r="K78" s="171" t="str">
        <f t="shared" si="15"/>
        <v/>
      </c>
      <c r="L78" s="171" t="str">
        <f t="shared" si="16"/>
        <v/>
      </c>
      <c r="M78" s="352"/>
      <c r="N78" s="353"/>
      <c r="O78" s="225" t="str">
        <f t="shared" si="19"/>
        <v/>
      </c>
      <c r="P78" s="226" t="str">
        <f t="shared" si="20"/>
        <v/>
      </c>
      <c r="Q78" s="354"/>
      <c r="R78" s="354"/>
      <c r="S78" s="354" t="str">
        <f t="shared" si="21"/>
        <v/>
      </c>
      <c r="T78" s="228" t="str">
        <f t="shared" si="22"/>
        <v/>
      </c>
      <c r="U78" s="365" t="str">
        <f t="shared" si="23"/>
        <v/>
      </c>
      <c r="V78" s="372"/>
      <c r="W78" s="371"/>
      <c r="X78" s="367"/>
      <c r="Y78" s="352"/>
      <c r="Z78" s="352"/>
      <c r="AA78" s="352"/>
      <c r="AB78" s="352"/>
      <c r="AC78" s="352"/>
      <c r="AD78" s="371"/>
      <c r="AE78" s="378"/>
      <c r="AF78" s="537" t="str">
        <f t="shared" si="24"/>
        <v/>
      </c>
      <c r="AG78" s="535" t="str">
        <f t="shared" si="25"/>
        <v/>
      </c>
      <c r="AH78" s="533" t="str">
        <f t="shared" si="26"/>
        <v/>
      </c>
      <c r="AI78" s="228" t="str">
        <f>IF($C78="","",VLOOKUP($AH78,'3-1.標準報酬月額・保険料表'!$N$8:$O$57,2,TRUE))</f>
        <v/>
      </c>
      <c r="AJ78" s="172"/>
      <c r="AK78" s="172"/>
      <c r="AL78" s="228">
        <f t="shared" si="17"/>
        <v>0</v>
      </c>
    </row>
    <row r="79" spans="1:38" s="169" customFormat="1" ht="20.100000000000001" customHeight="1" x14ac:dyDescent="0.15">
      <c r="A79" s="170" t="str">
        <f t="shared" si="18"/>
        <v/>
      </c>
      <c r="B79" s="347"/>
      <c r="C79" s="348"/>
      <c r="D79" s="349"/>
      <c r="E79" s="349"/>
      <c r="F79" s="350"/>
      <c r="G79" s="351"/>
      <c r="H79" s="351"/>
      <c r="I79" s="171" t="str">
        <f t="shared" si="27"/>
        <v/>
      </c>
      <c r="J79" s="171" t="str">
        <f t="shared" si="14"/>
        <v/>
      </c>
      <c r="K79" s="171" t="str">
        <f t="shared" si="15"/>
        <v/>
      </c>
      <c r="L79" s="171" t="str">
        <f t="shared" si="16"/>
        <v/>
      </c>
      <c r="M79" s="352"/>
      <c r="N79" s="353"/>
      <c r="O79" s="225" t="str">
        <f t="shared" si="19"/>
        <v/>
      </c>
      <c r="P79" s="226" t="str">
        <f t="shared" si="20"/>
        <v/>
      </c>
      <c r="Q79" s="354"/>
      <c r="R79" s="354"/>
      <c r="S79" s="354" t="str">
        <f t="shared" si="21"/>
        <v/>
      </c>
      <c r="T79" s="228" t="str">
        <f t="shared" si="22"/>
        <v/>
      </c>
      <c r="U79" s="365" t="str">
        <f t="shared" si="23"/>
        <v/>
      </c>
      <c r="V79" s="372"/>
      <c r="W79" s="371"/>
      <c r="X79" s="367"/>
      <c r="Y79" s="352"/>
      <c r="Z79" s="352"/>
      <c r="AA79" s="352"/>
      <c r="AB79" s="352"/>
      <c r="AC79" s="352"/>
      <c r="AD79" s="371"/>
      <c r="AE79" s="378"/>
      <c r="AF79" s="537" t="str">
        <f t="shared" si="24"/>
        <v/>
      </c>
      <c r="AG79" s="535" t="str">
        <f t="shared" si="25"/>
        <v/>
      </c>
      <c r="AH79" s="533" t="str">
        <f t="shared" si="26"/>
        <v/>
      </c>
      <c r="AI79" s="228" t="str">
        <f>IF($C79="","",VLOOKUP($AH79,'3-1.標準報酬月額・保険料表'!$N$8:$O$57,2,TRUE))</f>
        <v/>
      </c>
      <c r="AJ79" s="172"/>
      <c r="AK79" s="172"/>
      <c r="AL79" s="228">
        <f t="shared" si="17"/>
        <v>0</v>
      </c>
    </row>
    <row r="80" spans="1:38" s="169" customFormat="1" ht="20.100000000000001" customHeight="1" x14ac:dyDescent="0.15">
      <c r="A80" s="170" t="str">
        <f t="shared" si="18"/>
        <v/>
      </c>
      <c r="B80" s="347"/>
      <c r="C80" s="348"/>
      <c r="D80" s="349"/>
      <c r="E80" s="349"/>
      <c r="F80" s="350"/>
      <c r="G80" s="351"/>
      <c r="H80" s="351"/>
      <c r="I80" s="171" t="str">
        <f t="shared" si="27"/>
        <v/>
      </c>
      <c r="J80" s="171" t="str">
        <f t="shared" si="14"/>
        <v/>
      </c>
      <c r="K80" s="171" t="str">
        <f t="shared" si="15"/>
        <v/>
      </c>
      <c r="L80" s="171" t="str">
        <f t="shared" si="16"/>
        <v/>
      </c>
      <c r="M80" s="352"/>
      <c r="N80" s="353"/>
      <c r="O80" s="225" t="str">
        <f t="shared" si="19"/>
        <v/>
      </c>
      <c r="P80" s="226" t="str">
        <f t="shared" si="20"/>
        <v/>
      </c>
      <c r="Q80" s="354"/>
      <c r="R80" s="354"/>
      <c r="S80" s="354" t="str">
        <f t="shared" si="21"/>
        <v/>
      </c>
      <c r="T80" s="228" t="str">
        <f t="shared" si="22"/>
        <v/>
      </c>
      <c r="U80" s="365" t="str">
        <f t="shared" si="23"/>
        <v/>
      </c>
      <c r="V80" s="372"/>
      <c r="W80" s="371"/>
      <c r="X80" s="367"/>
      <c r="Y80" s="352"/>
      <c r="Z80" s="352"/>
      <c r="AA80" s="352"/>
      <c r="AB80" s="352"/>
      <c r="AC80" s="352"/>
      <c r="AD80" s="371"/>
      <c r="AE80" s="378"/>
      <c r="AF80" s="537" t="str">
        <f t="shared" si="24"/>
        <v/>
      </c>
      <c r="AG80" s="535" t="str">
        <f t="shared" si="25"/>
        <v/>
      </c>
      <c r="AH80" s="533" t="str">
        <f t="shared" si="26"/>
        <v/>
      </c>
      <c r="AI80" s="228" t="str">
        <f>IF($C80="","",VLOOKUP($AH80,'3-1.標準報酬月額・保険料表'!$N$8:$O$57,2,TRUE))</f>
        <v/>
      </c>
      <c r="AJ80" s="172"/>
      <c r="AK80" s="172"/>
      <c r="AL80" s="228">
        <f t="shared" si="17"/>
        <v>0</v>
      </c>
    </row>
    <row r="81" spans="1:38" s="169" customFormat="1" ht="20.100000000000001" customHeight="1" x14ac:dyDescent="0.15">
      <c r="A81" s="170" t="str">
        <f t="shared" si="18"/>
        <v/>
      </c>
      <c r="B81" s="347"/>
      <c r="C81" s="348"/>
      <c r="D81" s="349"/>
      <c r="E81" s="349"/>
      <c r="F81" s="350"/>
      <c r="G81" s="351"/>
      <c r="H81" s="351"/>
      <c r="I81" s="171" t="str">
        <f t="shared" si="27"/>
        <v/>
      </c>
      <c r="J81" s="171" t="str">
        <f t="shared" si="14"/>
        <v/>
      </c>
      <c r="K81" s="171" t="str">
        <f t="shared" si="15"/>
        <v/>
      </c>
      <c r="L81" s="171" t="str">
        <f t="shared" si="16"/>
        <v/>
      </c>
      <c r="M81" s="352"/>
      <c r="N81" s="353"/>
      <c r="O81" s="225" t="str">
        <f t="shared" si="19"/>
        <v/>
      </c>
      <c r="P81" s="226" t="str">
        <f t="shared" si="20"/>
        <v/>
      </c>
      <c r="Q81" s="354"/>
      <c r="R81" s="354"/>
      <c r="S81" s="354" t="str">
        <f t="shared" si="21"/>
        <v/>
      </c>
      <c r="T81" s="228" t="str">
        <f t="shared" si="22"/>
        <v/>
      </c>
      <c r="U81" s="365" t="str">
        <f t="shared" si="23"/>
        <v/>
      </c>
      <c r="V81" s="372"/>
      <c r="W81" s="371"/>
      <c r="X81" s="367"/>
      <c r="Y81" s="352"/>
      <c r="Z81" s="352"/>
      <c r="AA81" s="352"/>
      <c r="AB81" s="352"/>
      <c r="AC81" s="352"/>
      <c r="AD81" s="371"/>
      <c r="AE81" s="378"/>
      <c r="AF81" s="537" t="str">
        <f t="shared" si="24"/>
        <v/>
      </c>
      <c r="AG81" s="535" t="str">
        <f t="shared" si="25"/>
        <v/>
      </c>
      <c r="AH81" s="533" t="str">
        <f t="shared" si="26"/>
        <v/>
      </c>
      <c r="AI81" s="228" t="str">
        <f>IF($C81="","",VLOOKUP($AH81,'3-1.標準報酬月額・保険料表'!$N$8:$O$57,2,TRUE))</f>
        <v/>
      </c>
      <c r="AJ81" s="172"/>
      <c r="AK81" s="172"/>
      <c r="AL81" s="228">
        <f t="shared" si="17"/>
        <v>0</v>
      </c>
    </row>
    <row r="82" spans="1:38" s="169" customFormat="1" ht="20.100000000000001" customHeight="1" x14ac:dyDescent="0.15">
      <c r="A82" s="170" t="str">
        <f t="shared" si="18"/>
        <v/>
      </c>
      <c r="B82" s="347"/>
      <c r="C82" s="348"/>
      <c r="D82" s="349"/>
      <c r="E82" s="349"/>
      <c r="F82" s="350"/>
      <c r="G82" s="351"/>
      <c r="H82" s="351"/>
      <c r="I82" s="171" t="str">
        <f t="shared" si="27"/>
        <v/>
      </c>
      <c r="J82" s="171" t="str">
        <f t="shared" si="14"/>
        <v/>
      </c>
      <c r="K82" s="171" t="str">
        <f t="shared" si="15"/>
        <v/>
      </c>
      <c r="L82" s="171" t="str">
        <f t="shared" si="16"/>
        <v/>
      </c>
      <c r="M82" s="352"/>
      <c r="N82" s="353"/>
      <c r="O82" s="225" t="str">
        <f t="shared" si="19"/>
        <v/>
      </c>
      <c r="P82" s="226" t="str">
        <f t="shared" si="20"/>
        <v/>
      </c>
      <c r="Q82" s="354"/>
      <c r="R82" s="354"/>
      <c r="S82" s="354" t="str">
        <f t="shared" si="21"/>
        <v/>
      </c>
      <c r="T82" s="228" t="str">
        <f t="shared" si="22"/>
        <v/>
      </c>
      <c r="U82" s="365" t="str">
        <f t="shared" si="23"/>
        <v/>
      </c>
      <c r="V82" s="372"/>
      <c r="W82" s="371"/>
      <c r="X82" s="367"/>
      <c r="Y82" s="352"/>
      <c r="Z82" s="352"/>
      <c r="AA82" s="352"/>
      <c r="AB82" s="352"/>
      <c r="AC82" s="352"/>
      <c r="AD82" s="371"/>
      <c r="AE82" s="378"/>
      <c r="AF82" s="537" t="str">
        <f t="shared" si="24"/>
        <v/>
      </c>
      <c r="AG82" s="535" t="str">
        <f t="shared" si="25"/>
        <v/>
      </c>
      <c r="AH82" s="533" t="str">
        <f t="shared" si="26"/>
        <v/>
      </c>
      <c r="AI82" s="228" t="str">
        <f>IF($C82="","",VLOOKUP($AH82,'3-1.標準報酬月額・保険料表'!$N$8:$O$57,2,TRUE))</f>
        <v/>
      </c>
      <c r="AJ82" s="172"/>
      <c r="AK82" s="172"/>
      <c r="AL82" s="228">
        <f t="shared" si="17"/>
        <v>0</v>
      </c>
    </row>
    <row r="83" spans="1:38" s="169" customFormat="1" ht="20.100000000000001" customHeight="1" x14ac:dyDescent="0.15">
      <c r="A83" s="170" t="str">
        <f t="shared" si="18"/>
        <v/>
      </c>
      <c r="B83" s="347"/>
      <c r="C83" s="348"/>
      <c r="D83" s="349"/>
      <c r="E83" s="349"/>
      <c r="F83" s="350"/>
      <c r="G83" s="351"/>
      <c r="H83" s="351"/>
      <c r="I83" s="171" t="str">
        <f t="shared" si="27"/>
        <v/>
      </c>
      <c r="J83" s="171" t="str">
        <f t="shared" si="14"/>
        <v/>
      </c>
      <c r="K83" s="171" t="str">
        <f t="shared" si="15"/>
        <v/>
      </c>
      <c r="L83" s="171" t="str">
        <f t="shared" si="16"/>
        <v/>
      </c>
      <c r="M83" s="352"/>
      <c r="N83" s="353"/>
      <c r="O83" s="225" t="str">
        <f t="shared" si="19"/>
        <v/>
      </c>
      <c r="P83" s="226" t="str">
        <f t="shared" si="20"/>
        <v/>
      </c>
      <c r="Q83" s="354"/>
      <c r="R83" s="354"/>
      <c r="S83" s="354" t="str">
        <f t="shared" si="21"/>
        <v/>
      </c>
      <c r="T83" s="228" t="str">
        <f t="shared" si="22"/>
        <v/>
      </c>
      <c r="U83" s="365" t="str">
        <f t="shared" si="23"/>
        <v/>
      </c>
      <c r="V83" s="372"/>
      <c r="W83" s="371"/>
      <c r="X83" s="367"/>
      <c r="Y83" s="352"/>
      <c r="Z83" s="352"/>
      <c r="AA83" s="352"/>
      <c r="AB83" s="352"/>
      <c r="AC83" s="352"/>
      <c r="AD83" s="371"/>
      <c r="AE83" s="378"/>
      <c r="AF83" s="537" t="str">
        <f t="shared" si="24"/>
        <v/>
      </c>
      <c r="AG83" s="535" t="str">
        <f t="shared" si="25"/>
        <v/>
      </c>
      <c r="AH83" s="533" t="str">
        <f t="shared" si="26"/>
        <v/>
      </c>
      <c r="AI83" s="228" t="str">
        <f>IF($C83="","",VLOOKUP($AH83,'3-1.標準報酬月額・保険料表'!$N$8:$O$57,2,TRUE))</f>
        <v/>
      </c>
      <c r="AJ83" s="172"/>
      <c r="AK83" s="172"/>
      <c r="AL83" s="228">
        <f t="shared" si="17"/>
        <v>0</v>
      </c>
    </row>
    <row r="84" spans="1:38" s="169" customFormat="1" ht="20.100000000000001" customHeight="1" x14ac:dyDescent="0.15">
      <c r="A84" s="170" t="str">
        <f t="shared" si="18"/>
        <v/>
      </c>
      <c r="B84" s="347"/>
      <c r="C84" s="348"/>
      <c r="D84" s="349"/>
      <c r="E84" s="349"/>
      <c r="F84" s="350"/>
      <c r="G84" s="351"/>
      <c r="H84" s="351"/>
      <c r="I84" s="171" t="str">
        <f t="shared" si="27"/>
        <v/>
      </c>
      <c r="J84" s="171" t="str">
        <f t="shared" si="14"/>
        <v/>
      </c>
      <c r="K84" s="171" t="str">
        <f t="shared" si="15"/>
        <v/>
      </c>
      <c r="L84" s="171" t="str">
        <f t="shared" si="16"/>
        <v/>
      </c>
      <c r="M84" s="352"/>
      <c r="N84" s="353"/>
      <c r="O84" s="225" t="str">
        <f t="shared" si="19"/>
        <v/>
      </c>
      <c r="P84" s="226" t="str">
        <f t="shared" si="20"/>
        <v/>
      </c>
      <c r="Q84" s="354"/>
      <c r="R84" s="354"/>
      <c r="S84" s="354" t="str">
        <f t="shared" si="21"/>
        <v/>
      </c>
      <c r="T84" s="228" t="str">
        <f t="shared" si="22"/>
        <v/>
      </c>
      <c r="U84" s="365" t="str">
        <f t="shared" si="23"/>
        <v/>
      </c>
      <c r="V84" s="372"/>
      <c r="W84" s="371"/>
      <c r="X84" s="367"/>
      <c r="Y84" s="352"/>
      <c r="Z84" s="352"/>
      <c r="AA84" s="352"/>
      <c r="AB84" s="352"/>
      <c r="AC84" s="352"/>
      <c r="AD84" s="371"/>
      <c r="AE84" s="378"/>
      <c r="AF84" s="537" t="str">
        <f t="shared" si="24"/>
        <v/>
      </c>
      <c r="AG84" s="535" t="str">
        <f t="shared" si="25"/>
        <v/>
      </c>
      <c r="AH84" s="533" t="str">
        <f t="shared" si="26"/>
        <v/>
      </c>
      <c r="AI84" s="228" t="str">
        <f>IF($C84="","",VLOOKUP($AH84,'3-1.標準報酬月額・保険料表'!$N$8:$O$57,2,TRUE))</f>
        <v/>
      </c>
      <c r="AJ84" s="172"/>
      <c r="AK84" s="172"/>
      <c r="AL84" s="228">
        <f t="shared" si="17"/>
        <v>0</v>
      </c>
    </row>
    <row r="85" spans="1:38" s="169" customFormat="1" ht="20.100000000000001" customHeight="1" x14ac:dyDescent="0.15">
      <c r="A85" s="170" t="str">
        <f t="shared" si="18"/>
        <v/>
      </c>
      <c r="B85" s="347"/>
      <c r="C85" s="348"/>
      <c r="D85" s="349"/>
      <c r="E85" s="349"/>
      <c r="F85" s="350"/>
      <c r="G85" s="351"/>
      <c r="H85" s="351"/>
      <c r="I85" s="171" t="str">
        <f t="shared" si="27"/>
        <v/>
      </c>
      <c r="J85" s="171" t="str">
        <f t="shared" si="14"/>
        <v/>
      </c>
      <c r="K85" s="171" t="str">
        <f t="shared" si="15"/>
        <v/>
      </c>
      <c r="L85" s="171" t="str">
        <f t="shared" si="16"/>
        <v/>
      </c>
      <c r="M85" s="352"/>
      <c r="N85" s="353"/>
      <c r="O85" s="225" t="str">
        <f t="shared" si="19"/>
        <v/>
      </c>
      <c r="P85" s="226" t="str">
        <f t="shared" si="20"/>
        <v/>
      </c>
      <c r="Q85" s="354"/>
      <c r="R85" s="354"/>
      <c r="S85" s="354" t="str">
        <f t="shared" si="21"/>
        <v/>
      </c>
      <c r="T85" s="228" t="str">
        <f t="shared" si="22"/>
        <v/>
      </c>
      <c r="U85" s="365" t="str">
        <f t="shared" si="23"/>
        <v/>
      </c>
      <c r="V85" s="372"/>
      <c r="W85" s="371"/>
      <c r="X85" s="367"/>
      <c r="Y85" s="352"/>
      <c r="Z85" s="352"/>
      <c r="AA85" s="352"/>
      <c r="AB85" s="352"/>
      <c r="AC85" s="352"/>
      <c r="AD85" s="371"/>
      <c r="AE85" s="378"/>
      <c r="AF85" s="537" t="str">
        <f t="shared" si="24"/>
        <v/>
      </c>
      <c r="AG85" s="535" t="str">
        <f t="shared" si="25"/>
        <v/>
      </c>
      <c r="AH85" s="533" t="str">
        <f t="shared" si="26"/>
        <v/>
      </c>
      <c r="AI85" s="228" t="str">
        <f>IF($C85="","",VLOOKUP($AH85,'3-1.標準報酬月額・保険料表'!$N$8:$O$57,2,TRUE))</f>
        <v/>
      </c>
      <c r="AJ85" s="172"/>
      <c r="AK85" s="172"/>
      <c r="AL85" s="228">
        <f t="shared" si="17"/>
        <v>0</v>
      </c>
    </row>
    <row r="86" spans="1:38" s="169" customFormat="1" ht="20.100000000000001" customHeight="1" x14ac:dyDescent="0.15">
      <c r="A86" s="170" t="str">
        <f t="shared" si="18"/>
        <v/>
      </c>
      <c r="B86" s="347"/>
      <c r="C86" s="348"/>
      <c r="D86" s="349"/>
      <c r="E86" s="349"/>
      <c r="F86" s="350"/>
      <c r="G86" s="351"/>
      <c r="H86" s="351"/>
      <c r="I86" s="171" t="str">
        <f t="shared" si="27"/>
        <v/>
      </c>
      <c r="J86" s="171" t="str">
        <f t="shared" si="14"/>
        <v/>
      </c>
      <c r="K86" s="171" t="str">
        <f t="shared" si="15"/>
        <v/>
      </c>
      <c r="L86" s="171" t="str">
        <f t="shared" si="16"/>
        <v/>
      </c>
      <c r="M86" s="352"/>
      <c r="N86" s="353"/>
      <c r="O86" s="225" t="str">
        <f t="shared" si="19"/>
        <v/>
      </c>
      <c r="P86" s="226" t="str">
        <f t="shared" si="20"/>
        <v/>
      </c>
      <c r="Q86" s="354"/>
      <c r="R86" s="354"/>
      <c r="S86" s="354" t="str">
        <f t="shared" si="21"/>
        <v/>
      </c>
      <c r="T86" s="228" t="str">
        <f t="shared" si="22"/>
        <v/>
      </c>
      <c r="U86" s="365" t="str">
        <f t="shared" si="23"/>
        <v/>
      </c>
      <c r="V86" s="372"/>
      <c r="W86" s="371"/>
      <c r="X86" s="367"/>
      <c r="Y86" s="352"/>
      <c r="Z86" s="352"/>
      <c r="AA86" s="352"/>
      <c r="AB86" s="352"/>
      <c r="AC86" s="352"/>
      <c r="AD86" s="371"/>
      <c r="AE86" s="378"/>
      <c r="AF86" s="537" t="str">
        <f t="shared" si="24"/>
        <v/>
      </c>
      <c r="AG86" s="535" t="str">
        <f t="shared" si="25"/>
        <v/>
      </c>
      <c r="AH86" s="533" t="str">
        <f t="shared" si="26"/>
        <v/>
      </c>
      <c r="AI86" s="228" t="str">
        <f>IF($C86="","",VLOOKUP($AH86,'3-1.標準報酬月額・保険料表'!$N$8:$O$57,2,TRUE))</f>
        <v/>
      </c>
      <c r="AJ86" s="172"/>
      <c r="AK86" s="172"/>
      <c r="AL86" s="228">
        <f t="shared" si="17"/>
        <v>0</v>
      </c>
    </row>
    <row r="87" spans="1:38" s="169" customFormat="1" ht="20.100000000000001" customHeight="1" x14ac:dyDescent="0.15">
      <c r="A87" s="170" t="str">
        <f t="shared" si="18"/>
        <v/>
      </c>
      <c r="B87" s="347"/>
      <c r="C87" s="348"/>
      <c r="D87" s="349"/>
      <c r="E87" s="349"/>
      <c r="F87" s="350"/>
      <c r="G87" s="351"/>
      <c r="H87" s="351"/>
      <c r="I87" s="171" t="str">
        <f t="shared" si="27"/>
        <v/>
      </c>
      <c r="J87" s="171" t="str">
        <f t="shared" si="14"/>
        <v/>
      </c>
      <c r="K87" s="171" t="str">
        <f t="shared" si="15"/>
        <v/>
      </c>
      <c r="L87" s="171" t="str">
        <f t="shared" si="16"/>
        <v/>
      </c>
      <c r="M87" s="352"/>
      <c r="N87" s="353"/>
      <c r="O87" s="225" t="str">
        <f t="shared" si="19"/>
        <v/>
      </c>
      <c r="P87" s="226" t="str">
        <f t="shared" si="20"/>
        <v/>
      </c>
      <c r="Q87" s="354"/>
      <c r="R87" s="354"/>
      <c r="S87" s="354" t="str">
        <f t="shared" si="21"/>
        <v/>
      </c>
      <c r="T87" s="228" t="str">
        <f t="shared" si="22"/>
        <v/>
      </c>
      <c r="U87" s="365" t="str">
        <f t="shared" si="23"/>
        <v/>
      </c>
      <c r="V87" s="372"/>
      <c r="W87" s="371"/>
      <c r="X87" s="367"/>
      <c r="Y87" s="352"/>
      <c r="Z87" s="352"/>
      <c r="AA87" s="352"/>
      <c r="AB87" s="352"/>
      <c r="AC87" s="352"/>
      <c r="AD87" s="371"/>
      <c r="AE87" s="378"/>
      <c r="AF87" s="537" t="str">
        <f t="shared" si="24"/>
        <v/>
      </c>
      <c r="AG87" s="535" t="str">
        <f t="shared" si="25"/>
        <v/>
      </c>
      <c r="AH87" s="533" t="str">
        <f t="shared" si="26"/>
        <v/>
      </c>
      <c r="AI87" s="228" t="str">
        <f>IF($C87="","",VLOOKUP($AH87,'3-1.標準報酬月額・保険料表'!$N$8:$O$57,2,TRUE))</f>
        <v/>
      </c>
      <c r="AJ87" s="172"/>
      <c r="AK87" s="172"/>
      <c r="AL87" s="228">
        <f t="shared" si="17"/>
        <v>0</v>
      </c>
    </row>
    <row r="88" spans="1:38" s="169" customFormat="1" ht="20.100000000000001" customHeight="1" x14ac:dyDescent="0.15">
      <c r="A88" s="170" t="str">
        <f t="shared" si="18"/>
        <v/>
      </c>
      <c r="B88" s="347"/>
      <c r="C88" s="348"/>
      <c r="D88" s="349"/>
      <c r="E88" s="349"/>
      <c r="F88" s="350"/>
      <c r="G88" s="351"/>
      <c r="H88" s="351"/>
      <c r="I88" s="171" t="str">
        <f t="shared" si="27"/>
        <v/>
      </c>
      <c r="J88" s="171" t="str">
        <f t="shared" si="14"/>
        <v/>
      </c>
      <c r="K88" s="171" t="str">
        <f t="shared" si="15"/>
        <v/>
      </c>
      <c r="L88" s="171" t="str">
        <f t="shared" si="16"/>
        <v/>
      </c>
      <c r="M88" s="352"/>
      <c r="N88" s="353"/>
      <c r="O88" s="225" t="str">
        <f t="shared" si="19"/>
        <v/>
      </c>
      <c r="P88" s="226" t="str">
        <f t="shared" si="20"/>
        <v/>
      </c>
      <c r="Q88" s="354"/>
      <c r="R88" s="354"/>
      <c r="S88" s="354" t="str">
        <f t="shared" si="21"/>
        <v/>
      </c>
      <c r="T88" s="228" t="str">
        <f t="shared" si="22"/>
        <v/>
      </c>
      <c r="U88" s="365" t="str">
        <f t="shared" si="23"/>
        <v/>
      </c>
      <c r="V88" s="372"/>
      <c r="W88" s="371"/>
      <c r="X88" s="367"/>
      <c r="Y88" s="352"/>
      <c r="Z88" s="352"/>
      <c r="AA88" s="352"/>
      <c r="AB88" s="352"/>
      <c r="AC88" s="352"/>
      <c r="AD88" s="371"/>
      <c r="AE88" s="378"/>
      <c r="AF88" s="537" t="str">
        <f t="shared" si="24"/>
        <v/>
      </c>
      <c r="AG88" s="535" t="str">
        <f t="shared" si="25"/>
        <v/>
      </c>
      <c r="AH88" s="533" t="str">
        <f t="shared" si="26"/>
        <v/>
      </c>
      <c r="AI88" s="228" t="str">
        <f>IF($C88="","",VLOOKUP($AH88,'3-1.標準報酬月額・保険料表'!$N$8:$O$57,2,TRUE))</f>
        <v/>
      </c>
      <c r="AJ88" s="172"/>
      <c r="AK88" s="172"/>
      <c r="AL88" s="228">
        <f t="shared" si="17"/>
        <v>0</v>
      </c>
    </row>
    <row r="89" spans="1:38" s="169" customFormat="1" ht="20.100000000000001" customHeight="1" x14ac:dyDescent="0.15">
      <c r="A89" s="170" t="str">
        <f t="shared" si="18"/>
        <v/>
      </c>
      <c r="B89" s="347"/>
      <c r="C89" s="348"/>
      <c r="D89" s="349"/>
      <c r="E89" s="349"/>
      <c r="F89" s="350"/>
      <c r="G89" s="351"/>
      <c r="H89" s="351"/>
      <c r="I89" s="171" t="str">
        <f t="shared" si="27"/>
        <v/>
      </c>
      <c r="J89" s="171" t="str">
        <f t="shared" si="14"/>
        <v/>
      </c>
      <c r="K89" s="171" t="str">
        <f t="shared" si="15"/>
        <v/>
      </c>
      <c r="L89" s="171" t="str">
        <f t="shared" si="16"/>
        <v/>
      </c>
      <c r="M89" s="352"/>
      <c r="N89" s="353"/>
      <c r="O89" s="225" t="str">
        <f t="shared" si="19"/>
        <v/>
      </c>
      <c r="P89" s="226" t="str">
        <f t="shared" si="20"/>
        <v/>
      </c>
      <c r="Q89" s="354"/>
      <c r="R89" s="354"/>
      <c r="S89" s="354" t="str">
        <f t="shared" si="21"/>
        <v/>
      </c>
      <c r="T89" s="228" t="str">
        <f t="shared" si="22"/>
        <v/>
      </c>
      <c r="U89" s="365" t="str">
        <f t="shared" si="23"/>
        <v/>
      </c>
      <c r="V89" s="372"/>
      <c r="W89" s="371"/>
      <c r="X89" s="367"/>
      <c r="Y89" s="352"/>
      <c r="Z89" s="352"/>
      <c r="AA89" s="352"/>
      <c r="AB89" s="352"/>
      <c r="AC89" s="352"/>
      <c r="AD89" s="371"/>
      <c r="AE89" s="378"/>
      <c r="AF89" s="537" t="str">
        <f t="shared" si="24"/>
        <v/>
      </c>
      <c r="AG89" s="535" t="str">
        <f t="shared" si="25"/>
        <v/>
      </c>
      <c r="AH89" s="533" t="str">
        <f t="shared" si="26"/>
        <v/>
      </c>
      <c r="AI89" s="228" t="str">
        <f>IF($C89="","",VLOOKUP($AH89,'3-1.標準報酬月額・保険料表'!$N$8:$O$57,2,TRUE))</f>
        <v/>
      </c>
      <c r="AJ89" s="172"/>
      <c r="AK89" s="172"/>
      <c r="AL89" s="228">
        <f t="shared" si="17"/>
        <v>0</v>
      </c>
    </row>
    <row r="90" spans="1:38" s="169" customFormat="1" ht="20.100000000000001" customHeight="1" x14ac:dyDescent="0.15">
      <c r="A90" s="170" t="str">
        <f t="shared" si="18"/>
        <v/>
      </c>
      <c r="B90" s="347"/>
      <c r="C90" s="348"/>
      <c r="D90" s="349"/>
      <c r="E90" s="349"/>
      <c r="F90" s="350"/>
      <c r="G90" s="351"/>
      <c r="H90" s="351"/>
      <c r="I90" s="171" t="str">
        <f t="shared" si="27"/>
        <v/>
      </c>
      <c r="J90" s="171" t="str">
        <f t="shared" si="14"/>
        <v/>
      </c>
      <c r="K90" s="171" t="str">
        <f t="shared" si="15"/>
        <v/>
      </c>
      <c r="L90" s="171" t="str">
        <f t="shared" si="16"/>
        <v/>
      </c>
      <c r="M90" s="352"/>
      <c r="N90" s="353"/>
      <c r="O90" s="225" t="str">
        <f t="shared" si="19"/>
        <v/>
      </c>
      <c r="P90" s="226" t="str">
        <f t="shared" si="20"/>
        <v/>
      </c>
      <c r="Q90" s="354"/>
      <c r="R90" s="354"/>
      <c r="S90" s="354" t="str">
        <f t="shared" si="21"/>
        <v/>
      </c>
      <c r="T90" s="228" t="str">
        <f t="shared" si="22"/>
        <v/>
      </c>
      <c r="U90" s="365" t="str">
        <f t="shared" si="23"/>
        <v/>
      </c>
      <c r="V90" s="372"/>
      <c r="W90" s="371"/>
      <c r="X90" s="367"/>
      <c r="Y90" s="352"/>
      <c r="Z90" s="352"/>
      <c r="AA90" s="352"/>
      <c r="AB90" s="352"/>
      <c r="AC90" s="352"/>
      <c r="AD90" s="371"/>
      <c r="AE90" s="378"/>
      <c r="AF90" s="537" t="str">
        <f t="shared" si="24"/>
        <v/>
      </c>
      <c r="AG90" s="535" t="str">
        <f t="shared" si="25"/>
        <v/>
      </c>
      <c r="AH90" s="533" t="str">
        <f t="shared" si="26"/>
        <v/>
      </c>
      <c r="AI90" s="228" t="str">
        <f>IF($C90="","",VLOOKUP($AH90,'3-1.標準報酬月額・保険料表'!$N$8:$O$57,2,TRUE))</f>
        <v/>
      </c>
      <c r="AJ90" s="172"/>
      <c r="AK90" s="172"/>
      <c r="AL90" s="228">
        <f t="shared" si="17"/>
        <v>0</v>
      </c>
    </row>
    <row r="91" spans="1:38" s="169" customFormat="1" ht="20.100000000000001" customHeight="1" x14ac:dyDescent="0.15">
      <c r="A91" s="170" t="str">
        <f t="shared" si="18"/>
        <v/>
      </c>
      <c r="B91" s="347"/>
      <c r="C91" s="348"/>
      <c r="D91" s="349"/>
      <c r="E91" s="349"/>
      <c r="F91" s="350"/>
      <c r="G91" s="351"/>
      <c r="H91" s="351"/>
      <c r="I91" s="171" t="str">
        <f t="shared" si="27"/>
        <v/>
      </c>
      <c r="J91" s="171" t="str">
        <f t="shared" si="14"/>
        <v/>
      </c>
      <c r="K91" s="171" t="str">
        <f t="shared" si="15"/>
        <v/>
      </c>
      <c r="L91" s="171" t="str">
        <f t="shared" si="16"/>
        <v/>
      </c>
      <c r="M91" s="352"/>
      <c r="N91" s="353"/>
      <c r="O91" s="225" t="str">
        <f t="shared" si="19"/>
        <v/>
      </c>
      <c r="P91" s="226" t="str">
        <f t="shared" si="20"/>
        <v/>
      </c>
      <c r="Q91" s="354"/>
      <c r="R91" s="354"/>
      <c r="S91" s="354" t="str">
        <f t="shared" si="21"/>
        <v/>
      </c>
      <c r="T91" s="228" t="str">
        <f t="shared" si="22"/>
        <v/>
      </c>
      <c r="U91" s="365" t="str">
        <f t="shared" si="23"/>
        <v/>
      </c>
      <c r="V91" s="372"/>
      <c r="W91" s="371"/>
      <c r="X91" s="367"/>
      <c r="Y91" s="352"/>
      <c r="Z91" s="352"/>
      <c r="AA91" s="352"/>
      <c r="AB91" s="352"/>
      <c r="AC91" s="352"/>
      <c r="AD91" s="371"/>
      <c r="AE91" s="378"/>
      <c r="AF91" s="537" t="str">
        <f t="shared" si="24"/>
        <v/>
      </c>
      <c r="AG91" s="535" t="str">
        <f t="shared" si="25"/>
        <v/>
      </c>
      <c r="AH91" s="533" t="str">
        <f t="shared" si="26"/>
        <v/>
      </c>
      <c r="AI91" s="228" t="str">
        <f>IF($C91="","",VLOOKUP($AH91,'3-1.標準報酬月額・保険料表'!$N$8:$O$57,2,TRUE))</f>
        <v/>
      </c>
      <c r="AJ91" s="172"/>
      <c r="AK91" s="172"/>
      <c r="AL91" s="228">
        <f t="shared" si="17"/>
        <v>0</v>
      </c>
    </row>
    <row r="92" spans="1:38" s="169" customFormat="1" ht="20.100000000000001" customHeight="1" x14ac:dyDescent="0.15">
      <c r="A92" s="170" t="str">
        <f t="shared" si="18"/>
        <v/>
      </c>
      <c r="B92" s="347"/>
      <c r="C92" s="348"/>
      <c r="D92" s="349"/>
      <c r="E92" s="349"/>
      <c r="F92" s="350"/>
      <c r="G92" s="351"/>
      <c r="H92" s="351"/>
      <c r="I92" s="171" t="str">
        <f t="shared" si="27"/>
        <v/>
      </c>
      <c r="J92" s="171" t="str">
        <f t="shared" si="14"/>
        <v/>
      </c>
      <c r="K92" s="171" t="str">
        <f t="shared" si="15"/>
        <v/>
      </c>
      <c r="L92" s="171" t="str">
        <f t="shared" si="16"/>
        <v/>
      </c>
      <c r="M92" s="352"/>
      <c r="N92" s="353"/>
      <c r="O92" s="225" t="str">
        <f t="shared" si="19"/>
        <v/>
      </c>
      <c r="P92" s="226" t="str">
        <f t="shared" si="20"/>
        <v/>
      </c>
      <c r="Q92" s="354"/>
      <c r="R92" s="354"/>
      <c r="S92" s="354" t="str">
        <f t="shared" si="21"/>
        <v/>
      </c>
      <c r="T92" s="228" t="str">
        <f t="shared" si="22"/>
        <v/>
      </c>
      <c r="U92" s="365" t="str">
        <f t="shared" si="23"/>
        <v/>
      </c>
      <c r="V92" s="372"/>
      <c r="W92" s="371"/>
      <c r="X92" s="367"/>
      <c r="Y92" s="352"/>
      <c r="Z92" s="352"/>
      <c r="AA92" s="352"/>
      <c r="AB92" s="352"/>
      <c r="AC92" s="352"/>
      <c r="AD92" s="371"/>
      <c r="AE92" s="378"/>
      <c r="AF92" s="537" t="str">
        <f t="shared" si="24"/>
        <v/>
      </c>
      <c r="AG92" s="535" t="str">
        <f t="shared" si="25"/>
        <v/>
      </c>
      <c r="AH92" s="533" t="str">
        <f t="shared" si="26"/>
        <v/>
      </c>
      <c r="AI92" s="228" t="str">
        <f>IF($C92="","",VLOOKUP($AH92,'3-1.標準報酬月額・保険料表'!$N$8:$O$57,2,TRUE))</f>
        <v/>
      </c>
      <c r="AJ92" s="172"/>
      <c r="AK92" s="172"/>
      <c r="AL92" s="228">
        <f t="shared" si="17"/>
        <v>0</v>
      </c>
    </row>
    <row r="93" spans="1:38" s="169" customFormat="1" ht="20.100000000000001" customHeight="1" x14ac:dyDescent="0.15">
      <c r="A93" s="170" t="str">
        <f t="shared" si="18"/>
        <v/>
      </c>
      <c r="B93" s="347"/>
      <c r="C93" s="348"/>
      <c r="D93" s="349"/>
      <c r="E93" s="349"/>
      <c r="F93" s="350"/>
      <c r="G93" s="351"/>
      <c r="H93" s="351"/>
      <c r="I93" s="171" t="str">
        <f t="shared" si="27"/>
        <v/>
      </c>
      <c r="J93" s="171" t="str">
        <f t="shared" si="14"/>
        <v/>
      </c>
      <c r="K93" s="171" t="str">
        <f t="shared" si="15"/>
        <v/>
      </c>
      <c r="L93" s="171" t="str">
        <f t="shared" si="16"/>
        <v/>
      </c>
      <c r="M93" s="352"/>
      <c r="N93" s="353"/>
      <c r="O93" s="225" t="str">
        <f t="shared" si="19"/>
        <v/>
      </c>
      <c r="P93" s="226" t="str">
        <f t="shared" si="20"/>
        <v/>
      </c>
      <c r="Q93" s="354"/>
      <c r="R93" s="354"/>
      <c r="S93" s="354" t="str">
        <f t="shared" si="21"/>
        <v/>
      </c>
      <c r="T93" s="228" t="str">
        <f t="shared" si="22"/>
        <v/>
      </c>
      <c r="U93" s="365" t="str">
        <f t="shared" si="23"/>
        <v/>
      </c>
      <c r="V93" s="372"/>
      <c r="W93" s="371"/>
      <c r="X93" s="367"/>
      <c r="Y93" s="352"/>
      <c r="Z93" s="352"/>
      <c r="AA93" s="352"/>
      <c r="AB93" s="352"/>
      <c r="AC93" s="352"/>
      <c r="AD93" s="371"/>
      <c r="AE93" s="378"/>
      <c r="AF93" s="537" t="str">
        <f t="shared" si="24"/>
        <v/>
      </c>
      <c r="AG93" s="535" t="str">
        <f t="shared" si="25"/>
        <v/>
      </c>
      <c r="AH93" s="533" t="str">
        <f t="shared" si="26"/>
        <v/>
      </c>
      <c r="AI93" s="228" t="str">
        <f>IF($C93="","",VLOOKUP($AH93,'3-1.標準報酬月額・保険料表'!$N$8:$O$57,2,TRUE))</f>
        <v/>
      </c>
      <c r="AJ93" s="172"/>
      <c r="AK93" s="172"/>
      <c r="AL93" s="228">
        <f t="shared" si="17"/>
        <v>0</v>
      </c>
    </row>
    <row r="94" spans="1:38" s="169" customFormat="1" ht="20.100000000000001" customHeight="1" x14ac:dyDescent="0.15">
      <c r="A94" s="170" t="str">
        <f t="shared" si="18"/>
        <v/>
      </c>
      <c r="B94" s="347"/>
      <c r="C94" s="348"/>
      <c r="D94" s="349"/>
      <c r="E94" s="349"/>
      <c r="F94" s="350"/>
      <c r="G94" s="351"/>
      <c r="H94" s="351"/>
      <c r="I94" s="171" t="str">
        <f t="shared" si="27"/>
        <v/>
      </c>
      <c r="J94" s="171" t="str">
        <f t="shared" si="14"/>
        <v/>
      </c>
      <c r="K94" s="171" t="str">
        <f t="shared" si="15"/>
        <v/>
      </c>
      <c r="L94" s="171" t="str">
        <f t="shared" si="16"/>
        <v/>
      </c>
      <c r="M94" s="352"/>
      <c r="N94" s="353"/>
      <c r="O94" s="225" t="str">
        <f t="shared" si="19"/>
        <v/>
      </c>
      <c r="P94" s="226" t="str">
        <f t="shared" si="20"/>
        <v/>
      </c>
      <c r="Q94" s="354"/>
      <c r="R94" s="354"/>
      <c r="S94" s="354" t="str">
        <f t="shared" si="21"/>
        <v/>
      </c>
      <c r="T94" s="228" t="str">
        <f t="shared" si="22"/>
        <v/>
      </c>
      <c r="U94" s="365" t="str">
        <f t="shared" si="23"/>
        <v/>
      </c>
      <c r="V94" s="372"/>
      <c r="W94" s="371"/>
      <c r="X94" s="367"/>
      <c r="Y94" s="352"/>
      <c r="Z94" s="352"/>
      <c r="AA94" s="352"/>
      <c r="AB94" s="352"/>
      <c r="AC94" s="352"/>
      <c r="AD94" s="371"/>
      <c r="AE94" s="378"/>
      <c r="AF94" s="537" t="str">
        <f t="shared" si="24"/>
        <v/>
      </c>
      <c r="AG94" s="535" t="str">
        <f t="shared" si="25"/>
        <v/>
      </c>
      <c r="AH94" s="533" t="str">
        <f t="shared" si="26"/>
        <v/>
      </c>
      <c r="AI94" s="228" t="str">
        <f>IF($C94="","",VLOOKUP($AH94,'3-1.標準報酬月額・保険料表'!$N$8:$O$57,2,TRUE))</f>
        <v/>
      </c>
      <c r="AJ94" s="172"/>
      <c r="AK94" s="172"/>
      <c r="AL94" s="228">
        <f t="shared" si="17"/>
        <v>0</v>
      </c>
    </row>
    <row r="95" spans="1:38" s="169" customFormat="1" ht="20.100000000000001" customHeight="1" x14ac:dyDescent="0.15">
      <c r="A95" s="170" t="str">
        <f t="shared" si="18"/>
        <v/>
      </c>
      <c r="B95" s="347"/>
      <c r="C95" s="348"/>
      <c r="D95" s="349"/>
      <c r="E95" s="349"/>
      <c r="F95" s="350"/>
      <c r="G95" s="351"/>
      <c r="H95" s="351"/>
      <c r="I95" s="171" t="str">
        <f t="shared" si="27"/>
        <v/>
      </c>
      <c r="J95" s="171" t="str">
        <f t="shared" si="14"/>
        <v/>
      </c>
      <c r="K95" s="171" t="str">
        <f t="shared" si="15"/>
        <v/>
      </c>
      <c r="L95" s="171" t="str">
        <f t="shared" si="16"/>
        <v/>
      </c>
      <c r="M95" s="352"/>
      <c r="N95" s="353"/>
      <c r="O95" s="225" t="str">
        <f t="shared" si="19"/>
        <v/>
      </c>
      <c r="P95" s="226" t="str">
        <f t="shared" si="20"/>
        <v/>
      </c>
      <c r="Q95" s="354"/>
      <c r="R95" s="354"/>
      <c r="S95" s="354" t="str">
        <f t="shared" si="21"/>
        <v/>
      </c>
      <c r="T95" s="228" t="str">
        <f t="shared" si="22"/>
        <v/>
      </c>
      <c r="U95" s="365" t="str">
        <f t="shared" si="23"/>
        <v/>
      </c>
      <c r="V95" s="372"/>
      <c r="W95" s="371"/>
      <c r="X95" s="367"/>
      <c r="Y95" s="352"/>
      <c r="Z95" s="352"/>
      <c r="AA95" s="352"/>
      <c r="AB95" s="352"/>
      <c r="AC95" s="352"/>
      <c r="AD95" s="371"/>
      <c r="AE95" s="378"/>
      <c r="AF95" s="537" t="str">
        <f t="shared" si="24"/>
        <v/>
      </c>
      <c r="AG95" s="535" t="str">
        <f t="shared" si="25"/>
        <v/>
      </c>
      <c r="AH95" s="533" t="str">
        <f t="shared" si="26"/>
        <v/>
      </c>
      <c r="AI95" s="228" t="str">
        <f>IF($C95="","",VLOOKUP($AH95,'3-1.標準報酬月額・保険料表'!$N$8:$O$57,2,TRUE))</f>
        <v/>
      </c>
      <c r="AJ95" s="172"/>
      <c r="AK95" s="172"/>
      <c r="AL95" s="228">
        <f t="shared" si="17"/>
        <v>0</v>
      </c>
    </row>
    <row r="96" spans="1:38" s="169" customFormat="1" ht="20.100000000000001" customHeight="1" x14ac:dyDescent="0.15">
      <c r="A96" s="170" t="str">
        <f t="shared" si="18"/>
        <v/>
      </c>
      <c r="B96" s="347"/>
      <c r="C96" s="348"/>
      <c r="D96" s="349"/>
      <c r="E96" s="349"/>
      <c r="F96" s="350"/>
      <c r="G96" s="351"/>
      <c r="H96" s="351"/>
      <c r="I96" s="171" t="str">
        <f t="shared" si="27"/>
        <v/>
      </c>
      <c r="J96" s="171" t="str">
        <f t="shared" si="14"/>
        <v/>
      </c>
      <c r="K96" s="171" t="str">
        <f t="shared" si="15"/>
        <v/>
      </c>
      <c r="L96" s="171" t="str">
        <f t="shared" si="16"/>
        <v/>
      </c>
      <c r="M96" s="352"/>
      <c r="N96" s="353"/>
      <c r="O96" s="225" t="str">
        <f t="shared" si="19"/>
        <v/>
      </c>
      <c r="P96" s="226" t="str">
        <f t="shared" si="20"/>
        <v/>
      </c>
      <c r="Q96" s="354"/>
      <c r="R96" s="354"/>
      <c r="S96" s="354" t="str">
        <f t="shared" si="21"/>
        <v/>
      </c>
      <c r="T96" s="228" t="str">
        <f t="shared" si="22"/>
        <v/>
      </c>
      <c r="U96" s="365" t="str">
        <f t="shared" si="23"/>
        <v/>
      </c>
      <c r="V96" s="372"/>
      <c r="W96" s="371"/>
      <c r="X96" s="367"/>
      <c r="Y96" s="352"/>
      <c r="Z96" s="352"/>
      <c r="AA96" s="352"/>
      <c r="AB96" s="352"/>
      <c r="AC96" s="352"/>
      <c r="AD96" s="371"/>
      <c r="AE96" s="378"/>
      <c r="AF96" s="537" t="str">
        <f t="shared" si="24"/>
        <v/>
      </c>
      <c r="AG96" s="535" t="str">
        <f t="shared" si="25"/>
        <v/>
      </c>
      <c r="AH96" s="533" t="str">
        <f t="shared" si="26"/>
        <v/>
      </c>
      <c r="AI96" s="228" t="str">
        <f>IF($C96="","",VLOOKUP($AH96,'3-1.標準報酬月額・保険料表'!$N$8:$O$57,2,TRUE))</f>
        <v/>
      </c>
      <c r="AJ96" s="172"/>
      <c r="AK96" s="172"/>
      <c r="AL96" s="228">
        <f t="shared" si="17"/>
        <v>0</v>
      </c>
    </row>
    <row r="97" spans="1:38" s="169" customFormat="1" ht="20.100000000000001" customHeight="1" x14ac:dyDescent="0.15">
      <c r="A97" s="170" t="str">
        <f t="shared" si="18"/>
        <v/>
      </c>
      <c r="B97" s="347"/>
      <c r="C97" s="348"/>
      <c r="D97" s="349"/>
      <c r="E97" s="349"/>
      <c r="F97" s="350"/>
      <c r="G97" s="351"/>
      <c r="H97" s="351"/>
      <c r="I97" s="171" t="str">
        <f t="shared" si="27"/>
        <v/>
      </c>
      <c r="J97" s="171" t="str">
        <f t="shared" si="14"/>
        <v/>
      </c>
      <c r="K97" s="171" t="str">
        <f t="shared" si="15"/>
        <v/>
      </c>
      <c r="L97" s="171" t="str">
        <f t="shared" si="16"/>
        <v/>
      </c>
      <c r="M97" s="352"/>
      <c r="N97" s="353"/>
      <c r="O97" s="225" t="str">
        <f t="shared" si="19"/>
        <v/>
      </c>
      <c r="P97" s="226" t="str">
        <f t="shared" si="20"/>
        <v/>
      </c>
      <c r="Q97" s="354"/>
      <c r="R97" s="354"/>
      <c r="S97" s="354" t="str">
        <f t="shared" si="21"/>
        <v/>
      </c>
      <c r="T97" s="228" t="str">
        <f t="shared" si="22"/>
        <v/>
      </c>
      <c r="U97" s="365" t="str">
        <f t="shared" si="23"/>
        <v/>
      </c>
      <c r="V97" s="372"/>
      <c r="W97" s="371"/>
      <c r="X97" s="367"/>
      <c r="Y97" s="352"/>
      <c r="Z97" s="352"/>
      <c r="AA97" s="352"/>
      <c r="AB97" s="352"/>
      <c r="AC97" s="352"/>
      <c r="AD97" s="371"/>
      <c r="AE97" s="378"/>
      <c r="AF97" s="537" t="str">
        <f t="shared" si="24"/>
        <v/>
      </c>
      <c r="AG97" s="535" t="str">
        <f t="shared" si="25"/>
        <v/>
      </c>
      <c r="AH97" s="533" t="str">
        <f t="shared" si="26"/>
        <v/>
      </c>
      <c r="AI97" s="228" t="str">
        <f>IF($C97="","",VLOOKUP($AH97,'3-1.標準報酬月額・保険料表'!$N$8:$O$57,2,TRUE))</f>
        <v/>
      </c>
      <c r="AJ97" s="172"/>
      <c r="AK97" s="172"/>
      <c r="AL97" s="228">
        <f t="shared" si="17"/>
        <v>0</v>
      </c>
    </row>
    <row r="98" spans="1:38" s="169" customFormat="1" ht="20.100000000000001" customHeight="1" x14ac:dyDescent="0.15">
      <c r="A98" s="170" t="str">
        <f t="shared" si="18"/>
        <v/>
      </c>
      <c r="B98" s="347"/>
      <c r="C98" s="348"/>
      <c r="D98" s="349"/>
      <c r="E98" s="349"/>
      <c r="F98" s="350"/>
      <c r="G98" s="351"/>
      <c r="H98" s="351"/>
      <c r="I98" s="171" t="str">
        <f t="shared" si="27"/>
        <v/>
      </c>
      <c r="J98" s="171" t="str">
        <f t="shared" si="14"/>
        <v/>
      </c>
      <c r="K98" s="171" t="str">
        <f t="shared" si="15"/>
        <v/>
      </c>
      <c r="L98" s="171" t="str">
        <f t="shared" si="16"/>
        <v/>
      </c>
      <c r="M98" s="352"/>
      <c r="N98" s="353"/>
      <c r="O98" s="225" t="str">
        <f t="shared" si="19"/>
        <v/>
      </c>
      <c r="P98" s="226" t="str">
        <f t="shared" si="20"/>
        <v/>
      </c>
      <c r="Q98" s="354"/>
      <c r="R98" s="354"/>
      <c r="S98" s="354" t="str">
        <f t="shared" si="21"/>
        <v/>
      </c>
      <c r="T98" s="228" t="str">
        <f t="shared" si="22"/>
        <v/>
      </c>
      <c r="U98" s="365" t="str">
        <f t="shared" si="23"/>
        <v/>
      </c>
      <c r="V98" s="372"/>
      <c r="W98" s="371"/>
      <c r="X98" s="367"/>
      <c r="Y98" s="352"/>
      <c r="Z98" s="352"/>
      <c r="AA98" s="352"/>
      <c r="AB98" s="352"/>
      <c r="AC98" s="352"/>
      <c r="AD98" s="371"/>
      <c r="AE98" s="378"/>
      <c r="AF98" s="537" t="str">
        <f t="shared" si="24"/>
        <v/>
      </c>
      <c r="AG98" s="535" t="str">
        <f t="shared" si="25"/>
        <v/>
      </c>
      <c r="AH98" s="533" t="str">
        <f t="shared" si="26"/>
        <v/>
      </c>
      <c r="AI98" s="228" t="str">
        <f>IF($C98="","",VLOOKUP($AH98,'3-1.標準報酬月額・保険料表'!$N$8:$O$57,2,TRUE))</f>
        <v/>
      </c>
      <c r="AJ98" s="172"/>
      <c r="AK98" s="172"/>
      <c r="AL98" s="228">
        <f t="shared" si="17"/>
        <v>0</v>
      </c>
    </row>
    <row r="99" spans="1:38" s="169" customFormat="1" ht="20.100000000000001" customHeight="1" x14ac:dyDescent="0.15">
      <c r="A99" s="170" t="str">
        <f t="shared" si="18"/>
        <v/>
      </c>
      <c r="B99" s="347"/>
      <c r="C99" s="348"/>
      <c r="D99" s="349"/>
      <c r="E99" s="349"/>
      <c r="F99" s="350"/>
      <c r="G99" s="351"/>
      <c r="H99" s="351"/>
      <c r="I99" s="171" t="str">
        <f t="shared" si="27"/>
        <v/>
      </c>
      <c r="J99" s="171" t="str">
        <f t="shared" si="14"/>
        <v/>
      </c>
      <c r="K99" s="171" t="str">
        <f t="shared" si="15"/>
        <v/>
      </c>
      <c r="L99" s="171" t="str">
        <f t="shared" si="16"/>
        <v/>
      </c>
      <c r="M99" s="352"/>
      <c r="N99" s="353"/>
      <c r="O99" s="225" t="str">
        <f t="shared" si="19"/>
        <v/>
      </c>
      <c r="P99" s="226" t="str">
        <f t="shared" si="20"/>
        <v/>
      </c>
      <c r="Q99" s="354"/>
      <c r="R99" s="354"/>
      <c r="S99" s="354" t="str">
        <f t="shared" si="21"/>
        <v/>
      </c>
      <c r="T99" s="228" t="str">
        <f t="shared" si="22"/>
        <v/>
      </c>
      <c r="U99" s="365" t="str">
        <f t="shared" si="23"/>
        <v/>
      </c>
      <c r="V99" s="372"/>
      <c r="W99" s="371"/>
      <c r="X99" s="367"/>
      <c r="Y99" s="352"/>
      <c r="Z99" s="352"/>
      <c r="AA99" s="352"/>
      <c r="AB99" s="352"/>
      <c r="AC99" s="352"/>
      <c r="AD99" s="371"/>
      <c r="AE99" s="378"/>
      <c r="AF99" s="537" t="str">
        <f t="shared" si="24"/>
        <v/>
      </c>
      <c r="AG99" s="535" t="str">
        <f t="shared" si="25"/>
        <v/>
      </c>
      <c r="AH99" s="533" t="str">
        <f t="shared" si="26"/>
        <v/>
      </c>
      <c r="AI99" s="228" t="str">
        <f>IF($C99="","",VLOOKUP($AH99,'3-1.標準報酬月額・保険料表'!$N$8:$O$57,2,TRUE))</f>
        <v/>
      </c>
      <c r="AJ99" s="172"/>
      <c r="AK99" s="172"/>
      <c r="AL99" s="228">
        <f t="shared" si="17"/>
        <v>0</v>
      </c>
    </row>
    <row r="100" spans="1:38" s="169" customFormat="1" ht="20.100000000000001" customHeight="1" x14ac:dyDescent="0.15">
      <c r="A100" s="170" t="str">
        <f t="shared" si="18"/>
        <v/>
      </c>
      <c r="B100" s="347"/>
      <c r="C100" s="348"/>
      <c r="D100" s="349"/>
      <c r="E100" s="349"/>
      <c r="F100" s="350"/>
      <c r="G100" s="351"/>
      <c r="H100" s="351"/>
      <c r="I100" s="171" t="str">
        <f t="shared" si="27"/>
        <v/>
      </c>
      <c r="J100" s="171" t="str">
        <f t="shared" si="14"/>
        <v/>
      </c>
      <c r="K100" s="171" t="str">
        <f t="shared" si="15"/>
        <v/>
      </c>
      <c r="L100" s="171" t="str">
        <f t="shared" si="16"/>
        <v/>
      </c>
      <c r="M100" s="352"/>
      <c r="N100" s="353"/>
      <c r="O100" s="225" t="str">
        <f t="shared" si="19"/>
        <v/>
      </c>
      <c r="P100" s="226" t="str">
        <f t="shared" si="20"/>
        <v/>
      </c>
      <c r="Q100" s="354"/>
      <c r="R100" s="354"/>
      <c r="S100" s="354" t="str">
        <f t="shared" si="21"/>
        <v/>
      </c>
      <c r="T100" s="228" t="str">
        <f t="shared" si="22"/>
        <v/>
      </c>
      <c r="U100" s="365" t="str">
        <f t="shared" si="23"/>
        <v/>
      </c>
      <c r="V100" s="372"/>
      <c r="W100" s="371"/>
      <c r="X100" s="367"/>
      <c r="Y100" s="352"/>
      <c r="Z100" s="352"/>
      <c r="AA100" s="352"/>
      <c r="AB100" s="352"/>
      <c r="AC100" s="352"/>
      <c r="AD100" s="371"/>
      <c r="AE100" s="378"/>
      <c r="AF100" s="537" t="str">
        <f t="shared" si="24"/>
        <v/>
      </c>
      <c r="AG100" s="535" t="str">
        <f t="shared" si="25"/>
        <v/>
      </c>
      <c r="AH100" s="533" t="str">
        <f t="shared" si="26"/>
        <v/>
      </c>
      <c r="AI100" s="228" t="str">
        <f>IF($C100="","",VLOOKUP($AH100,'3-1.標準報酬月額・保険料表'!$N$8:$O$57,2,TRUE))</f>
        <v/>
      </c>
      <c r="AJ100" s="172"/>
      <c r="AK100" s="172"/>
      <c r="AL100" s="228">
        <f t="shared" si="17"/>
        <v>0</v>
      </c>
    </row>
    <row r="101" spans="1:38" s="169" customFormat="1" ht="20.100000000000001" customHeight="1" x14ac:dyDescent="0.15">
      <c r="A101" s="170" t="str">
        <f t="shared" si="18"/>
        <v/>
      </c>
      <c r="B101" s="347"/>
      <c r="C101" s="348"/>
      <c r="D101" s="349"/>
      <c r="E101" s="349"/>
      <c r="F101" s="350"/>
      <c r="G101" s="351"/>
      <c r="H101" s="351"/>
      <c r="I101" s="171" t="str">
        <f t="shared" si="27"/>
        <v/>
      </c>
      <c r="J101" s="171" t="str">
        <f t="shared" si="14"/>
        <v/>
      </c>
      <c r="K101" s="171" t="str">
        <f t="shared" si="15"/>
        <v/>
      </c>
      <c r="L101" s="171" t="str">
        <f t="shared" si="16"/>
        <v/>
      </c>
      <c r="M101" s="352"/>
      <c r="N101" s="353"/>
      <c r="O101" s="225" t="str">
        <f t="shared" si="19"/>
        <v/>
      </c>
      <c r="P101" s="226" t="str">
        <f t="shared" si="20"/>
        <v/>
      </c>
      <c r="Q101" s="354"/>
      <c r="R101" s="354"/>
      <c r="S101" s="354" t="str">
        <f t="shared" si="21"/>
        <v/>
      </c>
      <c r="T101" s="228" t="str">
        <f t="shared" si="22"/>
        <v/>
      </c>
      <c r="U101" s="365" t="str">
        <f t="shared" si="23"/>
        <v/>
      </c>
      <c r="V101" s="372"/>
      <c r="W101" s="371"/>
      <c r="X101" s="367"/>
      <c r="Y101" s="352"/>
      <c r="Z101" s="352"/>
      <c r="AA101" s="352"/>
      <c r="AB101" s="352"/>
      <c r="AC101" s="352"/>
      <c r="AD101" s="371"/>
      <c r="AE101" s="378"/>
      <c r="AF101" s="537" t="str">
        <f t="shared" si="24"/>
        <v/>
      </c>
      <c r="AG101" s="535" t="str">
        <f t="shared" si="25"/>
        <v/>
      </c>
      <c r="AH101" s="533" t="str">
        <f t="shared" si="26"/>
        <v/>
      </c>
      <c r="AI101" s="228" t="str">
        <f>IF($C101="","",VLOOKUP($AH101,'3-1.標準報酬月額・保険料表'!$N$8:$O$57,2,TRUE))</f>
        <v/>
      </c>
      <c r="AJ101" s="172"/>
      <c r="AK101" s="172"/>
      <c r="AL101" s="228">
        <f t="shared" si="17"/>
        <v>0</v>
      </c>
    </row>
    <row r="102" spans="1:38" s="169" customFormat="1" ht="20.100000000000001" customHeight="1" x14ac:dyDescent="0.15">
      <c r="A102" s="170" t="str">
        <f t="shared" si="18"/>
        <v/>
      </c>
      <c r="B102" s="347"/>
      <c r="C102" s="348"/>
      <c r="D102" s="349"/>
      <c r="E102" s="349"/>
      <c r="F102" s="350"/>
      <c r="G102" s="351"/>
      <c r="H102" s="351"/>
      <c r="I102" s="171" t="str">
        <f t="shared" si="27"/>
        <v/>
      </c>
      <c r="J102" s="171" t="str">
        <f t="shared" si="14"/>
        <v/>
      </c>
      <c r="K102" s="171" t="str">
        <f t="shared" si="15"/>
        <v/>
      </c>
      <c r="L102" s="171" t="str">
        <f t="shared" si="16"/>
        <v/>
      </c>
      <c r="M102" s="352"/>
      <c r="N102" s="353"/>
      <c r="O102" s="225" t="str">
        <f t="shared" si="19"/>
        <v/>
      </c>
      <c r="P102" s="226" t="str">
        <f t="shared" si="20"/>
        <v/>
      </c>
      <c r="Q102" s="354"/>
      <c r="R102" s="354"/>
      <c r="S102" s="354" t="str">
        <f t="shared" si="21"/>
        <v/>
      </c>
      <c r="T102" s="228" t="str">
        <f t="shared" si="22"/>
        <v/>
      </c>
      <c r="U102" s="365" t="str">
        <f t="shared" si="23"/>
        <v/>
      </c>
      <c r="V102" s="372"/>
      <c r="W102" s="371"/>
      <c r="X102" s="367"/>
      <c r="Y102" s="352"/>
      <c r="Z102" s="352"/>
      <c r="AA102" s="352"/>
      <c r="AB102" s="352"/>
      <c r="AC102" s="352"/>
      <c r="AD102" s="371"/>
      <c r="AE102" s="378"/>
      <c r="AF102" s="537" t="str">
        <f t="shared" si="24"/>
        <v/>
      </c>
      <c r="AG102" s="535" t="str">
        <f t="shared" si="25"/>
        <v/>
      </c>
      <c r="AH102" s="533" t="str">
        <f t="shared" si="26"/>
        <v/>
      </c>
      <c r="AI102" s="228" t="str">
        <f>IF($C102="","",VLOOKUP($AH102,'3-1.標準報酬月額・保険料表'!$N$8:$O$57,2,TRUE))</f>
        <v/>
      </c>
      <c r="AJ102" s="172"/>
      <c r="AK102" s="172"/>
      <c r="AL102" s="228">
        <f t="shared" si="17"/>
        <v>0</v>
      </c>
    </row>
    <row r="103" spans="1:38" s="169" customFormat="1" ht="20.100000000000001" customHeight="1" x14ac:dyDescent="0.15">
      <c r="A103" s="170" t="str">
        <f t="shared" si="18"/>
        <v/>
      </c>
      <c r="B103" s="347"/>
      <c r="C103" s="348"/>
      <c r="D103" s="349"/>
      <c r="E103" s="349"/>
      <c r="F103" s="350"/>
      <c r="G103" s="351"/>
      <c r="H103" s="351"/>
      <c r="I103" s="171" t="str">
        <f t="shared" si="27"/>
        <v/>
      </c>
      <c r="J103" s="171" t="str">
        <f t="shared" si="14"/>
        <v/>
      </c>
      <c r="K103" s="171" t="str">
        <f t="shared" si="15"/>
        <v/>
      </c>
      <c r="L103" s="171" t="str">
        <f t="shared" si="16"/>
        <v/>
      </c>
      <c r="M103" s="352"/>
      <c r="N103" s="353"/>
      <c r="O103" s="225" t="str">
        <f t="shared" si="19"/>
        <v/>
      </c>
      <c r="P103" s="226" t="str">
        <f t="shared" si="20"/>
        <v/>
      </c>
      <c r="Q103" s="354"/>
      <c r="R103" s="354"/>
      <c r="S103" s="354" t="str">
        <f t="shared" si="21"/>
        <v/>
      </c>
      <c r="T103" s="228" t="str">
        <f t="shared" si="22"/>
        <v/>
      </c>
      <c r="U103" s="365" t="str">
        <f t="shared" si="23"/>
        <v/>
      </c>
      <c r="V103" s="372"/>
      <c r="W103" s="371"/>
      <c r="X103" s="367"/>
      <c r="Y103" s="352"/>
      <c r="Z103" s="352"/>
      <c r="AA103" s="352"/>
      <c r="AB103" s="352"/>
      <c r="AC103" s="352"/>
      <c r="AD103" s="371"/>
      <c r="AE103" s="378"/>
      <c r="AF103" s="537" t="str">
        <f t="shared" si="24"/>
        <v/>
      </c>
      <c r="AG103" s="535" t="str">
        <f t="shared" si="25"/>
        <v/>
      </c>
      <c r="AH103" s="533" t="str">
        <f t="shared" si="26"/>
        <v/>
      </c>
      <c r="AI103" s="228" t="str">
        <f>IF($C103="","",VLOOKUP($AH103,'3-1.標準報酬月額・保険料表'!$N$8:$O$57,2,TRUE))</f>
        <v/>
      </c>
      <c r="AJ103" s="172"/>
      <c r="AK103" s="172"/>
      <c r="AL103" s="228">
        <f t="shared" si="17"/>
        <v>0</v>
      </c>
    </row>
    <row r="104" spans="1:38" s="169" customFormat="1" ht="20.100000000000001" customHeight="1" x14ac:dyDescent="0.15">
      <c r="A104" s="170" t="str">
        <f t="shared" si="18"/>
        <v/>
      </c>
      <c r="B104" s="347"/>
      <c r="C104" s="348"/>
      <c r="D104" s="349"/>
      <c r="E104" s="349"/>
      <c r="F104" s="350"/>
      <c r="G104" s="351"/>
      <c r="H104" s="351"/>
      <c r="I104" s="171" t="str">
        <f t="shared" si="27"/>
        <v/>
      </c>
      <c r="J104" s="171" t="str">
        <f t="shared" si="14"/>
        <v/>
      </c>
      <c r="K104" s="171" t="str">
        <f t="shared" si="15"/>
        <v/>
      </c>
      <c r="L104" s="171" t="str">
        <f t="shared" si="16"/>
        <v/>
      </c>
      <c r="M104" s="352"/>
      <c r="N104" s="353"/>
      <c r="O104" s="225" t="str">
        <f t="shared" si="19"/>
        <v/>
      </c>
      <c r="P104" s="226" t="str">
        <f t="shared" si="20"/>
        <v/>
      </c>
      <c r="Q104" s="354"/>
      <c r="R104" s="354"/>
      <c r="S104" s="354" t="str">
        <f t="shared" si="21"/>
        <v/>
      </c>
      <c r="T104" s="228" t="str">
        <f t="shared" si="22"/>
        <v/>
      </c>
      <c r="U104" s="365" t="str">
        <f t="shared" si="23"/>
        <v/>
      </c>
      <c r="V104" s="372"/>
      <c r="W104" s="371"/>
      <c r="X104" s="367"/>
      <c r="Y104" s="352"/>
      <c r="Z104" s="352"/>
      <c r="AA104" s="352"/>
      <c r="AB104" s="352"/>
      <c r="AC104" s="352"/>
      <c r="AD104" s="371"/>
      <c r="AE104" s="378"/>
      <c r="AF104" s="537" t="str">
        <f t="shared" si="24"/>
        <v/>
      </c>
      <c r="AG104" s="535" t="str">
        <f t="shared" si="25"/>
        <v/>
      </c>
      <c r="AH104" s="533" t="str">
        <f t="shared" si="26"/>
        <v/>
      </c>
      <c r="AI104" s="228" t="str">
        <f>IF($C104="","",VLOOKUP($AH104,'3-1.標準報酬月額・保険料表'!$N$8:$O$57,2,TRUE))</f>
        <v/>
      </c>
      <c r="AJ104" s="172"/>
      <c r="AK104" s="172"/>
      <c r="AL104" s="228">
        <f t="shared" si="17"/>
        <v>0</v>
      </c>
    </row>
    <row r="105" spans="1:38" s="169" customFormat="1" ht="20.100000000000001" customHeight="1" x14ac:dyDescent="0.15">
      <c r="A105" s="170" t="str">
        <f t="shared" si="18"/>
        <v/>
      </c>
      <c r="B105" s="347"/>
      <c r="C105" s="348"/>
      <c r="D105" s="349"/>
      <c r="E105" s="349"/>
      <c r="F105" s="350"/>
      <c r="G105" s="351"/>
      <c r="H105" s="351"/>
      <c r="I105" s="171" t="str">
        <f t="shared" si="27"/>
        <v/>
      </c>
      <c r="J105" s="171" t="str">
        <f t="shared" si="14"/>
        <v/>
      </c>
      <c r="K105" s="171" t="str">
        <f t="shared" si="15"/>
        <v/>
      </c>
      <c r="L105" s="171" t="str">
        <f t="shared" si="16"/>
        <v/>
      </c>
      <c r="M105" s="352"/>
      <c r="N105" s="353"/>
      <c r="O105" s="225" t="str">
        <f t="shared" si="19"/>
        <v/>
      </c>
      <c r="P105" s="226" t="str">
        <f t="shared" si="20"/>
        <v/>
      </c>
      <c r="Q105" s="354"/>
      <c r="R105" s="354"/>
      <c r="S105" s="354" t="str">
        <f t="shared" si="21"/>
        <v/>
      </c>
      <c r="T105" s="228" t="str">
        <f t="shared" si="22"/>
        <v/>
      </c>
      <c r="U105" s="365" t="str">
        <f t="shared" si="23"/>
        <v/>
      </c>
      <c r="V105" s="372"/>
      <c r="W105" s="371"/>
      <c r="X105" s="367"/>
      <c r="Y105" s="352"/>
      <c r="Z105" s="352"/>
      <c r="AA105" s="352"/>
      <c r="AB105" s="352"/>
      <c r="AC105" s="352"/>
      <c r="AD105" s="371"/>
      <c r="AE105" s="378"/>
      <c r="AF105" s="537" t="str">
        <f t="shared" si="24"/>
        <v/>
      </c>
      <c r="AG105" s="535" t="str">
        <f t="shared" si="25"/>
        <v/>
      </c>
      <c r="AH105" s="533" t="str">
        <f t="shared" si="26"/>
        <v/>
      </c>
      <c r="AI105" s="228" t="str">
        <f>IF($C105="","",VLOOKUP($AH105,'3-1.標準報酬月額・保険料表'!$N$8:$O$57,2,TRUE))</f>
        <v/>
      </c>
      <c r="AJ105" s="172"/>
      <c r="AK105" s="172"/>
      <c r="AL105" s="228">
        <f t="shared" si="17"/>
        <v>0</v>
      </c>
    </row>
    <row r="106" spans="1:38" s="169" customFormat="1" ht="20.100000000000001" customHeight="1" x14ac:dyDescent="0.15">
      <c r="A106" s="170" t="str">
        <f t="shared" si="18"/>
        <v/>
      </c>
      <c r="B106" s="347"/>
      <c r="C106" s="348"/>
      <c r="D106" s="349"/>
      <c r="E106" s="349"/>
      <c r="F106" s="350"/>
      <c r="G106" s="351"/>
      <c r="H106" s="351"/>
      <c r="I106" s="171" t="str">
        <f t="shared" si="27"/>
        <v/>
      </c>
      <c r="J106" s="171" t="str">
        <f t="shared" si="14"/>
        <v/>
      </c>
      <c r="K106" s="171" t="str">
        <f t="shared" si="15"/>
        <v/>
      </c>
      <c r="L106" s="171" t="str">
        <f t="shared" si="16"/>
        <v/>
      </c>
      <c r="M106" s="352"/>
      <c r="N106" s="353"/>
      <c r="O106" s="225" t="str">
        <f t="shared" si="19"/>
        <v/>
      </c>
      <c r="P106" s="226" t="str">
        <f t="shared" si="20"/>
        <v/>
      </c>
      <c r="Q106" s="354"/>
      <c r="R106" s="354"/>
      <c r="S106" s="354" t="str">
        <f t="shared" si="21"/>
        <v/>
      </c>
      <c r="T106" s="228" t="str">
        <f t="shared" si="22"/>
        <v/>
      </c>
      <c r="U106" s="365" t="str">
        <f t="shared" si="23"/>
        <v/>
      </c>
      <c r="V106" s="372"/>
      <c r="W106" s="371"/>
      <c r="X106" s="367"/>
      <c r="Y106" s="352"/>
      <c r="Z106" s="352"/>
      <c r="AA106" s="352"/>
      <c r="AB106" s="352"/>
      <c r="AC106" s="352"/>
      <c r="AD106" s="371"/>
      <c r="AE106" s="378"/>
      <c r="AF106" s="537" t="str">
        <f t="shared" si="24"/>
        <v/>
      </c>
      <c r="AG106" s="535" t="str">
        <f t="shared" si="25"/>
        <v/>
      </c>
      <c r="AH106" s="533" t="str">
        <f t="shared" si="26"/>
        <v/>
      </c>
      <c r="AI106" s="228" t="str">
        <f>IF($C106="","",VLOOKUP($AH106,'3-1.標準報酬月額・保険料表'!$N$8:$O$57,2,TRUE))</f>
        <v/>
      </c>
      <c r="AJ106" s="172"/>
      <c r="AK106" s="172"/>
      <c r="AL106" s="228">
        <f t="shared" si="17"/>
        <v>0</v>
      </c>
    </row>
    <row r="107" spans="1:38" s="169" customFormat="1" ht="20.100000000000001" customHeight="1" x14ac:dyDescent="0.15">
      <c r="A107" s="170" t="str">
        <f t="shared" si="18"/>
        <v/>
      </c>
      <c r="B107" s="347"/>
      <c r="C107" s="348"/>
      <c r="D107" s="349"/>
      <c r="E107" s="349"/>
      <c r="F107" s="350"/>
      <c r="G107" s="351"/>
      <c r="H107" s="351"/>
      <c r="I107" s="171" t="str">
        <f t="shared" si="27"/>
        <v/>
      </c>
      <c r="J107" s="171" t="str">
        <f t="shared" si="14"/>
        <v/>
      </c>
      <c r="K107" s="171" t="str">
        <f t="shared" si="15"/>
        <v/>
      </c>
      <c r="L107" s="171" t="str">
        <f t="shared" si="16"/>
        <v/>
      </c>
      <c r="M107" s="352"/>
      <c r="N107" s="353"/>
      <c r="O107" s="225" t="str">
        <f t="shared" si="19"/>
        <v/>
      </c>
      <c r="P107" s="226" t="str">
        <f t="shared" si="20"/>
        <v/>
      </c>
      <c r="Q107" s="354"/>
      <c r="R107" s="354"/>
      <c r="S107" s="354" t="str">
        <f t="shared" si="21"/>
        <v/>
      </c>
      <c r="T107" s="228" t="str">
        <f t="shared" si="22"/>
        <v/>
      </c>
      <c r="U107" s="365" t="str">
        <f t="shared" si="23"/>
        <v/>
      </c>
      <c r="V107" s="372"/>
      <c r="W107" s="371"/>
      <c r="X107" s="367"/>
      <c r="Y107" s="352"/>
      <c r="Z107" s="352"/>
      <c r="AA107" s="352"/>
      <c r="AB107" s="352"/>
      <c r="AC107" s="352"/>
      <c r="AD107" s="371"/>
      <c r="AE107" s="378"/>
      <c r="AF107" s="537" t="str">
        <f t="shared" si="24"/>
        <v/>
      </c>
      <c r="AG107" s="535" t="str">
        <f t="shared" si="25"/>
        <v/>
      </c>
      <c r="AH107" s="533" t="str">
        <f t="shared" si="26"/>
        <v/>
      </c>
      <c r="AI107" s="228" t="str">
        <f>IF($C107="","",VLOOKUP($AH107,'3-1.標準報酬月額・保険料表'!$N$8:$O$57,2,TRUE))</f>
        <v/>
      </c>
      <c r="AJ107" s="172"/>
      <c r="AK107" s="172"/>
      <c r="AL107" s="228">
        <f t="shared" si="17"/>
        <v>0</v>
      </c>
    </row>
    <row r="108" spans="1:38" s="169" customFormat="1" ht="20.100000000000001" customHeight="1" x14ac:dyDescent="0.15">
      <c r="A108" s="170" t="str">
        <f t="shared" si="18"/>
        <v/>
      </c>
      <c r="B108" s="347"/>
      <c r="C108" s="348"/>
      <c r="D108" s="349"/>
      <c r="E108" s="349"/>
      <c r="F108" s="350"/>
      <c r="G108" s="351"/>
      <c r="H108" s="351"/>
      <c r="I108" s="171" t="str">
        <f t="shared" si="27"/>
        <v/>
      </c>
      <c r="J108" s="171" t="str">
        <f t="shared" si="14"/>
        <v/>
      </c>
      <c r="K108" s="171" t="str">
        <f t="shared" si="15"/>
        <v/>
      </c>
      <c r="L108" s="171" t="str">
        <f t="shared" si="16"/>
        <v/>
      </c>
      <c r="M108" s="352"/>
      <c r="N108" s="353"/>
      <c r="O108" s="225" t="str">
        <f t="shared" si="19"/>
        <v/>
      </c>
      <c r="P108" s="226" t="str">
        <f t="shared" si="20"/>
        <v/>
      </c>
      <c r="Q108" s="354"/>
      <c r="R108" s="354"/>
      <c r="S108" s="354" t="str">
        <f t="shared" si="21"/>
        <v/>
      </c>
      <c r="T108" s="228" t="str">
        <f t="shared" si="22"/>
        <v/>
      </c>
      <c r="U108" s="365" t="str">
        <f t="shared" si="23"/>
        <v/>
      </c>
      <c r="V108" s="372"/>
      <c r="W108" s="371"/>
      <c r="X108" s="367"/>
      <c r="Y108" s="352"/>
      <c r="Z108" s="352"/>
      <c r="AA108" s="352"/>
      <c r="AB108" s="352"/>
      <c r="AC108" s="352"/>
      <c r="AD108" s="371"/>
      <c r="AE108" s="378"/>
      <c r="AF108" s="537" t="str">
        <f t="shared" si="24"/>
        <v/>
      </c>
      <c r="AG108" s="535" t="str">
        <f t="shared" si="25"/>
        <v/>
      </c>
      <c r="AH108" s="533" t="str">
        <f t="shared" si="26"/>
        <v/>
      </c>
      <c r="AI108" s="228" t="str">
        <f>IF($C108="","",VLOOKUP($AH108,'3-1.標準報酬月額・保険料表'!$N$8:$O$57,2,TRUE))</f>
        <v/>
      </c>
      <c r="AJ108" s="172"/>
      <c r="AK108" s="172"/>
      <c r="AL108" s="228">
        <f t="shared" si="17"/>
        <v>0</v>
      </c>
    </row>
    <row r="109" spans="1:38" s="169" customFormat="1" ht="20.100000000000001" customHeight="1" thickBot="1" x14ac:dyDescent="0.2">
      <c r="A109" s="170" t="str">
        <f t="shared" si="18"/>
        <v/>
      </c>
      <c r="B109" s="347"/>
      <c r="C109" s="348"/>
      <c r="D109" s="349"/>
      <c r="E109" s="349"/>
      <c r="F109" s="350"/>
      <c r="G109" s="351"/>
      <c r="H109" s="351"/>
      <c r="I109" s="171" t="str">
        <f t="shared" si="27"/>
        <v/>
      </c>
      <c r="J109" s="171" t="str">
        <f t="shared" si="14"/>
        <v/>
      </c>
      <c r="K109" s="171" t="str">
        <f t="shared" si="15"/>
        <v/>
      </c>
      <c r="L109" s="171" t="str">
        <f t="shared" si="16"/>
        <v/>
      </c>
      <c r="M109" s="352"/>
      <c r="N109" s="353"/>
      <c r="O109" s="225" t="str">
        <f t="shared" si="19"/>
        <v/>
      </c>
      <c r="P109" s="226" t="str">
        <f t="shared" si="20"/>
        <v/>
      </c>
      <c r="Q109" s="354"/>
      <c r="R109" s="354"/>
      <c r="S109" s="354" t="str">
        <f t="shared" si="21"/>
        <v/>
      </c>
      <c r="T109" s="228" t="str">
        <f t="shared" si="22"/>
        <v/>
      </c>
      <c r="U109" s="365" t="str">
        <f t="shared" si="23"/>
        <v/>
      </c>
      <c r="V109" s="373"/>
      <c r="W109" s="374"/>
      <c r="X109" s="375"/>
      <c r="Y109" s="376"/>
      <c r="Z109" s="376"/>
      <c r="AA109" s="376"/>
      <c r="AB109" s="376"/>
      <c r="AC109" s="376"/>
      <c r="AD109" s="374"/>
      <c r="AE109" s="379"/>
      <c r="AF109" s="537" t="str">
        <f t="shared" si="24"/>
        <v/>
      </c>
      <c r="AG109" s="535" t="str">
        <f t="shared" si="25"/>
        <v/>
      </c>
      <c r="AH109" s="533" t="str">
        <f t="shared" si="26"/>
        <v/>
      </c>
      <c r="AI109" s="228" t="str">
        <f>IF($C109="","",VLOOKUP($AH109,'3-1.標準報酬月額・保険料表'!$N$8:$O$57,2,TRUE))</f>
        <v/>
      </c>
      <c r="AJ109" s="172"/>
      <c r="AK109" s="172"/>
      <c r="AL109" s="228">
        <f t="shared" si="17"/>
        <v>0</v>
      </c>
    </row>
    <row r="112" spans="1:38" x14ac:dyDescent="0.15">
      <c r="C112" s="174" t="s">
        <v>147</v>
      </c>
    </row>
    <row r="113" spans="3:3" x14ac:dyDescent="0.15">
      <c r="C113" s="174" t="s">
        <v>148</v>
      </c>
    </row>
  </sheetData>
  <sheetProtection algorithmName="SHA-512" hashValue="6UDK/4bicesgdrYxrQ4PHLcAptlpQJIaWowU0FDaS6nri0bg7s3RUuEoOZM+E/keSjqdNuRVzov3POclANR3zA==" saltValue="BnGY2d52lNiHJABTgufbqg==" spinCount="100000" sheet="1" objects="1" scenarios="1"/>
  <mergeCells count="23">
    <mergeCell ref="N2:N3"/>
    <mergeCell ref="Q8:S8"/>
    <mergeCell ref="I3:K3"/>
    <mergeCell ref="I4:K4"/>
    <mergeCell ref="A8:A9"/>
    <mergeCell ref="C8:C9"/>
    <mergeCell ref="D8:D9"/>
    <mergeCell ref="E8:E9"/>
    <mergeCell ref="F8:F9"/>
    <mergeCell ref="G8:G9"/>
    <mergeCell ref="H8:H9"/>
    <mergeCell ref="I8:J8"/>
    <mergeCell ref="K8:L8"/>
    <mergeCell ref="M8:M9"/>
    <mergeCell ref="N8:N9"/>
    <mergeCell ref="O8:O9"/>
    <mergeCell ref="AI8:AI9"/>
    <mergeCell ref="AJ8:AL8"/>
    <mergeCell ref="P8:P9"/>
    <mergeCell ref="T8:U8"/>
    <mergeCell ref="AF8:AF9"/>
    <mergeCell ref="AG8:AG9"/>
    <mergeCell ref="AH8:AH9"/>
  </mergeCells>
  <phoneticPr fontId="3"/>
  <pageMargins left="0.70866141732283472" right="0.70866141732283472" top="0.74803149606299213" bottom="0.74803149606299213" header="0.31496062992125984" footer="0.31496062992125984"/>
  <pageSetup paperSize="9" scale="75" orientation="landscape" verticalDpi="0" r:id="rId1"/>
  <headerFooter>
    <oddFooter>&amp;C&amp;P</oddFooter>
  </headerFooter>
  <colBreaks count="1" manualBreakCount="1">
    <brk id="31" min="1" max="3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2"/>
    <pageSetUpPr autoPageBreaks="0"/>
  </sheetPr>
  <dimension ref="C1:O37"/>
  <sheetViews>
    <sheetView showGridLines="0" zoomScaleNormal="100" workbookViewId="0">
      <selection activeCell="E13" sqref="E13"/>
    </sheetView>
  </sheetViews>
  <sheetFormatPr defaultRowHeight="13.5" x14ac:dyDescent="0.15"/>
  <cols>
    <col min="1" max="2" width="2.375" style="192" customWidth="1"/>
    <col min="3" max="3" width="4.25" style="192" customWidth="1"/>
    <col min="4" max="4" width="19.25" style="192" customWidth="1"/>
    <col min="5" max="16" width="14.625" style="192" customWidth="1"/>
    <col min="17" max="17" width="12.625" style="192" customWidth="1"/>
    <col min="18" max="16384" width="9" style="192"/>
  </cols>
  <sheetData>
    <row r="1" spans="3:15" ht="27" customHeight="1" x14ac:dyDescent="0.15"/>
    <row r="2" spans="3:15" ht="30" customHeight="1" x14ac:dyDescent="0.15">
      <c r="C2" s="279" t="s">
        <v>29</v>
      </c>
      <c r="F2" s="280" t="s">
        <v>138</v>
      </c>
      <c r="H2" s="964">
        <v>45108</v>
      </c>
      <c r="I2" s="964"/>
    </row>
    <row r="3" spans="3:15" ht="18" customHeight="1" x14ac:dyDescent="0.15">
      <c r="C3" s="281"/>
      <c r="I3" s="282"/>
    </row>
    <row r="4" spans="3:15" ht="30" customHeight="1" thickBot="1" x14ac:dyDescent="0.25">
      <c r="C4" s="283" t="s">
        <v>183</v>
      </c>
      <c r="D4" s="284"/>
      <c r="E4" s="285" t="s">
        <v>83</v>
      </c>
      <c r="G4" s="283" t="s">
        <v>184</v>
      </c>
      <c r="H4" s="286"/>
      <c r="I4" s="193"/>
      <c r="J4" s="287" t="s">
        <v>51</v>
      </c>
      <c r="L4" s="538" t="s">
        <v>27</v>
      </c>
    </row>
    <row r="5" spans="3:15" ht="30" customHeight="1" thickBot="1" x14ac:dyDescent="0.2">
      <c r="C5" s="970" t="s">
        <v>31</v>
      </c>
      <c r="D5" s="970"/>
      <c r="E5" s="138">
        <v>1.55E-2</v>
      </c>
      <c r="G5" s="967" t="s">
        <v>21</v>
      </c>
      <c r="H5" s="968"/>
      <c r="I5" s="968"/>
      <c r="J5" s="969"/>
      <c r="L5" s="539" t="s">
        <v>28</v>
      </c>
    </row>
    <row r="6" spans="3:15" ht="39.950000000000003" customHeight="1" thickBot="1" x14ac:dyDescent="0.2">
      <c r="C6" s="971" t="s">
        <v>126</v>
      </c>
      <c r="D6" s="971"/>
      <c r="E6" s="138">
        <v>6.0000000000000001E-3</v>
      </c>
      <c r="G6" s="288" t="s">
        <v>133</v>
      </c>
      <c r="H6" s="288" t="s">
        <v>134</v>
      </c>
      <c r="I6" s="289" t="s">
        <v>33</v>
      </c>
      <c r="J6" s="289" t="s">
        <v>34</v>
      </c>
    </row>
    <row r="7" spans="3:15" ht="30" customHeight="1" thickBot="1" x14ac:dyDescent="0.2">
      <c r="C7" s="290"/>
      <c r="D7" s="291"/>
      <c r="G7" s="136">
        <v>0.10290000000000001</v>
      </c>
      <c r="H7" s="137">
        <v>0.1211</v>
      </c>
      <c r="I7" s="320">
        <f>H7-G7</f>
        <v>1.8199999999999994E-2</v>
      </c>
      <c r="J7" s="137">
        <v>0.183</v>
      </c>
    </row>
    <row r="8" spans="3:15" ht="18" customHeight="1" x14ac:dyDescent="0.15">
      <c r="D8" s="292"/>
      <c r="G8" s="674" t="s">
        <v>50</v>
      </c>
    </row>
    <row r="9" spans="3:15" ht="18" customHeight="1" x14ac:dyDescent="0.15">
      <c r="G9" s="675" t="s">
        <v>377</v>
      </c>
    </row>
    <row r="10" spans="3:15" ht="18" customHeight="1" x14ac:dyDescent="0.15">
      <c r="I10" s="195"/>
      <c r="J10" s="195"/>
    </row>
    <row r="11" spans="3:15" ht="32.25" customHeight="1" x14ac:dyDescent="0.15">
      <c r="C11" s="280" t="s">
        <v>383</v>
      </c>
      <c r="D11" s="681"/>
      <c r="E11" s="678"/>
      <c r="I11" s="677"/>
      <c r="J11" s="195"/>
      <c r="O11" s="294"/>
    </row>
    <row r="12" spans="3:15" ht="13.5" customHeight="1" x14ac:dyDescent="0.15">
      <c r="C12" s="682"/>
      <c r="D12" s="684" t="s">
        <v>385</v>
      </c>
      <c r="E12" s="300"/>
      <c r="F12" s="301"/>
      <c r="G12" s="679"/>
      <c r="I12" s="300"/>
      <c r="J12" s="301"/>
      <c r="L12" s="300"/>
      <c r="M12" s="300"/>
    </row>
    <row r="13" spans="3:15" ht="30" customHeight="1" x14ac:dyDescent="0.15">
      <c r="C13" s="280" t="s">
        <v>384</v>
      </c>
      <c r="D13" s="683"/>
      <c r="G13" s="680"/>
      <c r="H13" s="680"/>
    </row>
    <row r="14" spans="3:15" ht="13.5" customHeight="1" x14ac:dyDescent="0.15">
      <c r="C14" s="682"/>
      <c r="D14" s="684" t="s">
        <v>385</v>
      </c>
      <c r="E14" s="300"/>
      <c r="F14" s="301"/>
      <c r="G14" s="679"/>
      <c r="I14" s="300"/>
      <c r="J14" s="301"/>
      <c r="L14" s="300"/>
      <c r="M14" s="300"/>
    </row>
    <row r="15" spans="3:15" ht="30" customHeight="1" x14ac:dyDescent="0.15"/>
    <row r="16" spans="3:15" ht="30" customHeight="1" x14ac:dyDescent="0.15">
      <c r="C16" s="283" t="s">
        <v>132</v>
      </c>
      <c r="F16" s="293" t="s">
        <v>128</v>
      </c>
      <c r="G16" s="205"/>
      <c r="L16" s="297"/>
    </row>
    <row r="17" spans="3:14" ht="9.9499999999999993" customHeight="1" thickBot="1" x14ac:dyDescent="0.2">
      <c r="C17" s="283"/>
      <c r="D17" s="295">
        <v>1</v>
      </c>
      <c r="E17" s="296">
        <v>2</v>
      </c>
      <c r="F17" s="296">
        <v>3</v>
      </c>
      <c r="G17" s="295">
        <v>4</v>
      </c>
      <c r="H17" s="296">
        <v>5</v>
      </c>
      <c r="I17" s="296">
        <v>6</v>
      </c>
      <c r="J17" s="295">
        <v>7</v>
      </c>
      <c r="K17" s="296">
        <v>8</v>
      </c>
      <c r="L17" s="296">
        <v>9</v>
      </c>
    </row>
    <row r="18" spans="3:14" ht="30" customHeight="1" thickBot="1" x14ac:dyDescent="0.2">
      <c r="C18" s="283"/>
      <c r="D18" s="295"/>
      <c r="E18" s="296"/>
      <c r="F18" s="296"/>
      <c r="G18" s="295"/>
      <c r="H18" s="296"/>
      <c r="I18" s="296"/>
      <c r="J18" s="972" t="s">
        <v>139</v>
      </c>
      <c r="K18" s="973"/>
      <c r="L18" s="296"/>
      <c r="N18" s="302"/>
    </row>
    <row r="19" spans="3:14" ht="30" customHeight="1" thickBot="1" x14ac:dyDescent="0.2">
      <c r="C19" s="965" t="s">
        <v>179</v>
      </c>
      <c r="D19" s="966"/>
      <c r="E19" s="303" t="s">
        <v>63</v>
      </c>
      <c r="F19" s="303" t="s">
        <v>66</v>
      </c>
      <c r="G19" s="304" t="s">
        <v>67</v>
      </c>
      <c r="H19" s="305" t="s">
        <v>68</v>
      </c>
      <c r="I19" s="303" t="s">
        <v>127</v>
      </c>
      <c r="J19" s="303" t="s">
        <v>81</v>
      </c>
      <c r="K19" s="303" t="s">
        <v>65</v>
      </c>
      <c r="L19" s="306"/>
      <c r="N19" s="302"/>
    </row>
    <row r="20" spans="3:14" ht="30" customHeight="1" thickBot="1" x14ac:dyDescent="0.2">
      <c r="C20" s="307">
        <v>1</v>
      </c>
      <c r="D20" s="308" t="s">
        <v>125</v>
      </c>
      <c r="E20" s="309">
        <v>2000</v>
      </c>
      <c r="F20" s="310">
        <v>3500</v>
      </c>
      <c r="G20" s="311">
        <v>0.04</v>
      </c>
      <c r="H20" s="312">
        <v>0.06</v>
      </c>
      <c r="I20" s="278">
        <f t="shared" ref="I20:I34" si="0">IF($D20="","",$G20+$H20)</f>
        <v>0.1</v>
      </c>
      <c r="J20" s="313">
        <v>965000</v>
      </c>
      <c r="K20" s="313">
        <v>1000000</v>
      </c>
      <c r="L20" s="314" t="s">
        <v>130</v>
      </c>
    </row>
    <row r="21" spans="3:14" ht="30" customHeight="1" thickBot="1" x14ac:dyDescent="0.2">
      <c r="C21" s="307">
        <v>2</v>
      </c>
      <c r="D21" s="308" t="s">
        <v>135</v>
      </c>
      <c r="E21" s="309">
        <v>2000</v>
      </c>
      <c r="F21" s="310">
        <v>3500</v>
      </c>
      <c r="G21" s="311">
        <v>0.04</v>
      </c>
      <c r="H21" s="312">
        <v>0.06</v>
      </c>
      <c r="I21" s="278">
        <f t="shared" si="0"/>
        <v>0.1</v>
      </c>
      <c r="J21" s="313">
        <v>965000</v>
      </c>
      <c r="K21" s="313">
        <v>1000000</v>
      </c>
      <c r="L21" s="314" t="s">
        <v>130</v>
      </c>
    </row>
    <row r="22" spans="3:14" ht="30" customHeight="1" thickBot="1" x14ac:dyDescent="0.2">
      <c r="C22" s="307">
        <v>3</v>
      </c>
      <c r="D22" s="308" t="s">
        <v>131</v>
      </c>
      <c r="E22" s="309">
        <v>1800</v>
      </c>
      <c r="F22" s="310">
        <v>3500</v>
      </c>
      <c r="G22" s="311">
        <v>0.02</v>
      </c>
      <c r="H22" s="312">
        <v>0.08</v>
      </c>
      <c r="I22" s="278">
        <f t="shared" si="0"/>
        <v>0.1</v>
      </c>
      <c r="J22" s="313">
        <v>1000000</v>
      </c>
      <c r="K22" s="313">
        <v>1000000</v>
      </c>
      <c r="L22" s="314" t="s">
        <v>130</v>
      </c>
    </row>
    <row r="23" spans="3:14" ht="30" customHeight="1" thickBot="1" x14ac:dyDescent="0.2">
      <c r="C23" s="307">
        <v>4</v>
      </c>
      <c r="D23" s="308"/>
      <c r="E23" s="309"/>
      <c r="F23" s="310"/>
      <c r="G23" s="311"/>
      <c r="H23" s="312"/>
      <c r="I23" s="278" t="str">
        <f t="shared" si="0"/>
        <v/>
      </c>
      <c r="J23" s="313"/>
      <c r="K23" s="313"/>
      <c r="L23" s="314"/>
    </row>
    <row r="24" spans="3:14" ht="30" customHeight="1" thickBot="1" x14ac:dyDescent="0.2">
      <c r="C24" s="307">
        <v>5</v>
      </c>
      <c r="D24" s="308"/>
      <c r="E24" s="309"/>
      <c r="F24" s="310"/>
      <c r="G24" s="311"/>
      <c r="H24" s="312"/>
      <c r="I24" s="278" t="str">
        <f t="shared" si="0"/>
        <v/>
      </c>
      <c r="J24" s="315"/>
      <c r="K24" s="315"/>
      <c r="L24" s="298"/>
    </row>
    <row r="25" spans="3:14" ht="30" customHeight="1" thickBot="1" x14ac:dyDescent="0.2">
      <c r="C25" s="307">
        <v>6</v>
      </c>
      <c r="D25" s="308"/>
      <c r="E25" s="309"/>
      <c r="F25" s="310"/>
      <c r="G25" s="311"/>
      <c r="H25" s="312"/>
      <c r="I25" s="278" t="str">
        <f t="shared" si="0"/>
        <v/>
      </c>
      <c r="J25" s="315"/>
      <c r="K25" s="315"/>
      <c r="L25" s="299"/>
    </row>
    <row r="26" spans="3:14" ht="30" customHeight="1" thickBot="1" x14ac:dyDescent="0.2">
      <c r="C26" s="307">
        <v>7</v>
      </c>
      <c r="D26" s="308"/>
      <c r="E26" s="309"/>
      <c r="F26" s="310"/>
      <c r="G26" s="311"/>
      <c r="H26" s="312"/>
      <c r="I26" s="278" t="str">
        <f t="shared" si="0"/>
        <v/>
      </c>
      <c r="J26" s="316"/>
      <c r="K26" s="316"/>
      <c r="L26" s="317"/>
    </row>
    <row r="27" spans="3:14" ht="30" customHeight="1" thickBot="1" x14ac:dyDescent="0.2">
      <c r="C27" s="307">
        <v>8</v>
      </c>
      <c r="D27" s="308"/>
      <c r="E27" s="309"/>
      <c r="F27" s="310"/>
      <c r="G27" s="311"/>
      <c r="H27" s="312"/>
      <c r="I27" s="278" t="str">
        <f t="shared" si="0"/>
        <v/>
      </c>
      <c r="J27" s="316"/>
      <c r="K27" s="316"/>
      <c r="L27" s="317"/>
    </row>
    <row r="28" spans="3:14" ht="30" customHeight="1" thickBot="1" x14ac:dyDescent="0.2">
      <c r="C28" s="307">
        <v>9</v>
      </c>
      <c r="D28" s="308"/>
      <c r="E28" s="309"/>
      <c r="F28" s="310"/>
      <c r="G28" s="311"/>
      <c r="H28" s="312"/>
      <c r="I28" s="278" t="str">
        <f t="shared" si="0"/>
        <v/>
      </c>
      <c r="J28" s="316"/>
      <c r="K28" s="316"/>
      <c r="L28" s="317"/>
    </row>
    <row r="29" spans="3:14" ht="30" customHeight="1" thickBot="1" x14ac:dyDescent="0.2">
      <c r="C29" s="307">
        <v>10</v>
      </c>
      <c r="D29" s="308"/>
      <c r="E29" s="309"/>
      <c r="F29" s="310"/>
      <c r="G29" s="311"/>
      <c r="H29" s="312"/>
      <c r="I29" s="278" t="str">
        <f t="shared" si="0"/>
        <v/>
      </c>
      <c r="J29" s="316"/>
      <c r="K29" s="316"/>
      <c r="L29" s="317"/>
    </row>
    <row r="30" spans="3:14" ht="30" customHeight="1" thickBot="1" x14ac:dyDescent="0.2">
      <c r="C30" s="307">
        <v>11</v>
      </c>
      <c r="D30" s="308"/>
      <c r="E30" s="309"/>
      <c r="F30" s="310"/>
      <c r="G30" s="311"/>
      <c r="H30" s="312"/>
      <c r="I30" s="278" t="str">
        <f t="shared" si="0"/>
        <v/>
      </c>
      <c r="J30" s="316"/>
      <c r="K30" s="316"/>
      <c r="L30" s="317"/>
    </row>
    <row r="31" spans="3:14" ht="30" customHeight="1" thickBot="1" x14ac:dyDescent="0.2">
      <c r="C31" s="307">
        <v>12</v>
      </c>
      <c r="D31" s="308"/>
      <c r="E31" s="309"/>
      <c r="F31" s="310"/>
      <c r="G31" s="311"/>
      <c r="H31" s="312"/>
      <c r="I31" s="278" t="str">
        <f t="shared" si="0"/>
        <v/>
      </c>
      <c r="J31" s="316"/>
      <c r="K31" s="316"/>
      <c r="L31" s="317"/>
    </row>
    <row r="32" spans="3:14" ht="30" customHeight="1" thickBot="1" x14ac:dyDescent="0.2">
      <c r="C32" s="307">
        <v>13</v>
      </c>
      <c r="D32" s="308"/>
      <c r="E32" s="309"/>
      <c r="F32" s="310"/>
      <c r="G32" s="311"/>
      <c r="H32" s="312"/>
      <c r="I32" s="278" t="str">
        <f t="shared" si="0"/>
        <v/>
      </c>
      <c r="J32" s="316"/>
      <c r="K32" s="316"/>
      <c r="L32" s="317"/>
    </row>
    <row r="33" spans="3:12" ht="30" customHeight="1" thickBot="1" x14ac:dyDescent="0.2">
      <c r="C33" s="307">
        <v>14</v>
      </c>
      <c r="D33" s="308"/>
      <c r="E33" s="309"/>
      <c r="F33" s="310"/>
      <c r="G33" s="311"/>
      <c r="H33" s="312"/>
      <c r="I33" s="278" t="str">
        <f t="shared" si="0"/>
        <v/>
      </c>
      <c r="J33" s="316"/>
      <c r="K33" s="316"/>
      <c r="L33" s="317"/>
    </row>
    <row r="34" spans="3:12" ht="30" customHeight="1" thickBot="1" x14ac:dyDescent="0.2">
      <c r="C34" s="307">
        <v>15</v>
      </c>
      <c r="D34" s="308"/>
      <c r="E34" s="309"/>
      <c r="F34" s="310"/>
      <c r="G34" s="311"/>
      <c r="H34" s="312"/>
      <c r="I34" s="278" t="str">
        <f t="shared" si="0"/>
        <v/>
      </c>
      <c r="J34" s="316"/>
      <c r="K34" s="316"/>
      <c r="L34" s="317"/>
    </row>
    <row r="35" spans="3:12" ht="17.25" x14ac:dyDescent="0.15">
      <c r="H35" s="318"/>
      <c r="I35" s="319"/>
      <c r="J35" s="319"/>
    </row>
    <row r="36" spans="3:12" ht="17.25" x14ac:dyDescent="0.15">
      <c r="H36" s="318"/>
      <c r="I36" s="319"/>
      <c r="J36" s="319"/>
    </row>
    <row r="37" spans="3:12" ht="17.25" x14ac:dyDescent="0.15">
      <c r="H37" s="318"/>
      <c r="I37" s="319"/>
      <c r="J37" s="319"/>
    </row>
  </sheetData>
  <sheetProtection sheet="1" objects="1" scenarios="1"/>
  <mergeCells count="6">
    <mergeCell ref="H2:I2"/>
    <mergeCell ref="C19:D19"/>
    <mergeCell ref="G5:J5"/>
    <mergeCell ref="C5:D5"/>
    <mergeCell ref="C6:D6"/>
    <mergeCell ref="J18:K18"/>
  </mergeCells>
  <phoneticPr fontId="3"/>
  <printOptions horizontalCentered="1" verticalCentered="1"/>
  <pageMargins left="0.59055118110236227" right="0.59055118110236227" top="0.78740157480314965" bottom="0.59055118110236227" header="0.51181102362204722" footer="0.51181102362204722"/>
  <pageSetup paperSize="9" scale="64" orientation="landscape" r:id="rId1"/>
  <headerFooter alignWithMargins="0">
    <oddFooter>&amp;C&amp;P</oddFooter>
  </headerFooter>
  <rowBreaks count="1" manualBreakCount="1">
    <brk id="11" min="2" max="1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C8E6B-0B64-4CA5-B8C8-390753F0419B}">
  <sheetPr>
    <tabColor rgb="FFFFFF00"/>
  </sheetPr>
  <dimension ref="B2:L95"/>
  <sheetViews>
    <sheetView showGridLines="0" zoomScaleNormal="100" workbookViewId="0">
      <selection activeCell="B6" sqref="B6:B9"/>
    </sheetView>
  </sheetViews>
  <sheetFormatPr defaultRowHeight="13.5" x14ac:dyDescent="0.15"/>
  <cols>
    <col min="1" max="1" width="3.875" customWidth="1"/>
    <col min="2" max="2" width="7.5" customWidth="1"/>
    <col min="3" max="3" width="28.5" customWidth="1"/>
    <col min="4" max="4" width="16.75" customWidth="1"/>
    <col min="5" max="6" width="32.625" customWidth="1"/>
    <col min="7" max="7" width="38.875" customWidth="1"/>
    <col min="8" max="8" width="32.625" customWidth="1"/>
    <col min="9" max="11" width="20.125" customWidth="1"/>
    <col min="12" max="16" width="10.625" customWidth="1"/>
  </cols>
  <sheetData>
    <row r="2" spans="2:8" ht="21" customHeight="1" x14ac:dyDescent="0.15"/>
    <row r="3" spans="2:8" ht="21" customHeight="1" x14ac:dyDescent="0.15">
      <c r="C3" s="135"/>
    </row>
    <row r="4" spans="2:8" ht="29.25" customHeight="1" x14ac:dyDescent="0.15">
      <c r="B4" s="321" t="s">
        <v>206</v>
      </c>
      <c r="C4" s="322"/>
      <c r="D4" s="322"/>
      <c r="E4" s="323"/>
      <c r="G4" s="498" t="s">
        <v>262</v>
      </c>
    </row>
    <row r="5" spans="2:8" ht="24.95" customHeight="1" thickBot="1" x14ac:dyDescent="0.2">
      <c r="B5" s="324" t="s">
        <v>205</v>
      </c>
      <c r="C5" s="324" t="s">
        <v>202</v>
      </c>
      <c r="D5" s="325" t="s">
        <v>199</v>
      </c>
      <c r="E5" s="325" t="s">
        <v>327</v>
      </c>
      <c r="F5" s="325" t="s">
        <v>328</v>
      </c>
      <c r="G5" s="325" t="s">
        <v>329</v>
      </c>
      <c r="H5" s="326" t="s">
        <v>204</v>
      </c>
    </row>
    <row r="6" spans="2:8" ht="21" customHeight="1" thickTop="1" x14ac:dyDescent="0.15">
      <c r="B6" s="985">
        <v>1</v>
      </c>
      <c r="C6" s="988" t="s">
        <v>343</v>
      </c>
      <c r="D6" s="327" t="s">
        <v>200</v>
      </c>
      <c r="E6" s="328"/>
      <c r="F6" s="328">
        <v>2</v>
      </c>
      <c r="G6" s="328"/>
      <c r="H6" s="976" t="s">
        <v>338</v>
      </c>
    </row>
    <row r="7" spans="2:8" ht="21" customHeight="1" x14ac:dyDescent="0.15">
      <c r="B7" s="986"/>
      <c r="C7" s="989"/>
      <c r="D7" s="982" t="s">
        <v>198</v>
      </c>
      <c r="E7" s="329"/>
      <c r="F7" s="329"/>
      <c r="G7" s="329"/>
      <c r="H7" s="977"/>
    </row>
    <row r="8" spans="2:8" ht="39.950000000000003" customHeight="1" x14ac:dyDescent="0.15">
      <c r="B8" s="986"/>
      <c r="C8" s="990"/>
      <c r="D8" s="983"/>
      <c r="E8" s="979"/>
      <c r="F8" s="979" t="s">
        <v>333</v>
      </c>
      <c r="G8" s="979"/>
      <c r="H8" s="977"/>
    </row>
    <row r="9" spans="2:8" ht="69.75" customHeight="1" thickBot="1" x14ac:dyDescent="0.2">
      <c r="B9" s="987"/>
      <c r="C9" s="991"/>
      <c r="D9" s="984"/>
      <c r="E9" s="980"/>
      <c r="F9" s="980"/>
      <c r="G9" s="980"/>
      <c r="H9" s="977"/>
    </row>
    <row r="10" spans="2:8" ht="24.95" customHeight="1" thickTop="1" x14ac:dyDescent="0.15">
      <c r="B10" s="985">
        <v>2</v>
      </c>
      <c r="C10" s="988" t="s">
        <v>344</v>
      </c>
      <c r="D10" s="327" t="s">
        <v>200</v>
      </c>
      <c r="E10" s="328"/>
      <c r="F10" s="328">
        <v>2</v>
      </c>
      <c r="G10" s="328"/>
      <c r="H10" s="976" t="s">
        <v>338</v>
      </c>
    </row>
    <row r="11" spans="2:8" ht="24.95" customHeight="1" x14ac:dyDescent="0.15">
      <c r="B11" s="986"/>
      <c r="C11" s="989"/>
      <c r="D11" s="982" t="s">
        <v>198</v>
      </c>
      <c r="E11" s="329"/>
      <c r="F11" s="329"/>
      <c r="G11" s="329"/>
      <c r="H11" s="977"/>
    </row>
    <row r="12" spans="2:8" ht="39.950000000000003" customHeight="1" x14ac:dyDescent="0.15">
      <c r="B12" s="986"/>
      <c r="C12" s="990"/>
      <c r="D12" s="983"/>
      <c r="E12" s="979"/>
      <c r="F12" s="979" t="s">
        <v>333</v>
      </c>
      <c r="G12" s="979"/>
      <c r="H12" s="977"/>
    </row>
    <row r="13" spans="2:8" ht="69.75" customHeight="1" thickBot="1" x14ac:dyDescent="0.2">
      <c r="B13" s="987"/>
      <c r="C13" s="991"/>
      <c r="D13" s="984"/>
      <c r="E13" s="980"/>
      <c r="F13" s="980"/>
      <c r="G13" s="980"/>
      <c r="H13" s="977"/>
    </row>
    <row r="14" spans="2:8" ht="24.95" customHeight="1" thickTop="1" x14ac:dyDescent="0.15">
      <c r="B14" s="981">
        <v>3</v>
      </c>
      <c r="C14" s="992" t="s">
        <v>345</v>
      </c>
      <c r="D14" s="327" t="s">
        <v>200</v>
      </c>
      <c r="E14" s="328">
        <v>1</v>
      </c>
      <c r="F14" s="328">
        <v>1</v>
      </c>
      <c r="G14" s="328">
        <v>1</v>
      </c>
      <c r="H14" s="976" t="s">
        <v>342</v>
      </c>
    </row>
    <row r="15" spans="2:8" ht="24.95" customHeight="1" x14ac:dyDescent="0.15">
      <c r="B15" s="981"/>
      <c r="C15" s="992"/>
      <c r="D15" s="982" t="s">
        <v>198</v>
      </c>
      <c r="E15" s="329"/>
      <c r="F15" s="329"/>
      <c r="G15" s="329"/>
      <c r="H15" s="977"/>
    </row>
    <row r="16" spans="2:8" ht="39.950000000000003" customHeight="1" x14ac:dyDescent="0.15">
      <c r="B16" s="981"/>
      <c r="C16" s="993"/>
      <c r="D16" s="983"/>
      <c r="E16" s="979" t="s">
        <v>334</v>
      </c>
      <c r="F16" s="979" t="s">
        <v>371</v>
      </c>
      <c r="G16" s="979" t="s">
        <v>335</v>
      </c>
      <c r="H16" s="977"/>
    </row>
    <row r="17" spans="2:12" ht="53.25" customHeight="1" thickBot="1" x14ac:dyDescent="0.2">
      <c r="B17" s="981"/>
      <c r="C17" s="993"/>
      <c r="D17" s="984"/>
      <c r="E17" s="980"/>
      <c r="F17" s="980"/>
      <c r="G17" s="980"/>
      <c r="H17" s="978"/>
    </row>
    <row r="18" spans="2:12" ht="21" customHeight="1" thickTop="1" x14ac:dyDescent="0.15">
      <c r="B18" s="48" t="s">
        <v>201</v>
      </c>
    </row>
    <row r="19" spans="2:12" ht="21" customHeight="1" x14ac:dyDescent="0.15"/>
    <row r="20" spans="2:12" ht="21" customHeight="1" x14ac:dyDescent="0.15">
      <c r="B20" s="212" t="s">
        <v>207</v>
      </c>
    </row>
    <row r="21" spans="2:12" ht="21" customHeight="1" x14ac:dyDescent="0.15">
      <c r="B21" s="135" t="s">
        <v>208</v>
      </c>
    </row>
    <row r="22" spans="2:12" ht="21" customHeight="1" x14ac:dyDescent="0.15">
      <c r="C22" s="48" t="s">
        <v>209</v>
      </c>
    </row>
    <row r="23" spans="2:12" ht="21" customHeight="1" x14ac:dyDescent="0.15">
      <c r="C23" s="48" t="s">
        <v>210</v>
      </c>
    </row>
    <row r="24" spans="2:12" ht="21" customHeight="1" x14ac:dyDescent="0.15">
      <c r="C24" s="48" t="s">
        <v>211</v>
      </c>
      <c r="L24" s="48"/>
    </row>
    <row r="25" spans="2:12" ht="21" customHeight="1" x14ac:dyDescent="0.15">
      <c r="C25" s="194" t="s">
        <v>212</v>
      </c>
      <c r="L25" s="48"/>
    </row>
    <row r="26" spans="2:12" ht="21" customHeight="1" x14ac:dyDescent="0.15">
      <c r="C26" s="48" t="s">
        <v>213</v>
      </c>
      <c r="L26" s="48"/>
    </row>
    <row r="27" spans="2:12" ht="21" customHeight="1" x14ac:dyDescent="0.15">
      <c r="B27" s="48"/>
      <c r="C27" s="48" t="s">
        <v>214</v>
      </c>
      <c r="L27" s="48"/>
    </row>
    <row r="28" spans="2:12" ht="21" customHeight="1" x14ac:dyDescent="0.15">
      <c r="F28" s="206" t="s">
        <v>263</v>
      </c>
      <c r="L28" s="48"/>
    </row>
    <row r="29" spans="2:12" ht="21" customHeight="1" x14ac:dyDescent="0.15">
      <c r="B29" s="135" t="s">
        <v>215</v>
      </c>
      <c r="F29" s="330" t="s">
        <v>205</v>
      </c>
      <c r="G29" s="331" t="s">
        <v>228</v>
      </c>
      <c r="H29" s="331" t="s">
        <v>231</v>
      </c>
      <c r="K29" s="48"/>
    </row>
    <row r="30" spans="2:12" ht="33" customHeight="1" x14ac:dyDescent="0.15">
      <c r="C30" s="48" t="s">
        <v>216</v>
      </c>
      <c r="F30" s="974" t="s">
        <v>336</v>
      </c>
      <c r="G30" s="499" t="s">
        <v>236</v>
      </c>
      <c r="H30" s="332">
        <v>1300000</v>
      </c>
    </row>
    <row r="31" spans="2:12" ht="33" customHeight="1" x14ac:dyDescent="0.15">
      <c r="C31" s="48" t="s">
        <v>346</v>
      </c>
      <c r="F31" s="975"/>
      <c r="G31" s="499" t="s">
        <v>229</v>
      </c>
      <c r="H31" s="332">
        <v>30</v>
      </c>
    </row>
    <row r="32" spans="2:12" ht="33" customHeight="1" x14ac:dyDescent="0.15">
      <c r="C32" s="48" t="s">
        <v>347</v>
      </c>
      <c r="F32" s="974" t="s">
        <v>337</v>
      </c>
      <c r="G32" s="499" t="s">
        <v>227</v>
      </c>
      <c r="H32" s="332">
        <v>88000</v>
      </c>
    </row>
    <row r="33" spans="2:8" ht="33" customHeight="1" x14ac:dyDescent="0.15">
      <c r="C33" s="48" t="s">
        <v>348</v>
      </c>
      <c r="F33" s="975"/>
      <c r="G33" s="499" t="s">
        <v>230</v>
      </c>
      <c r="H33" s="332">
        <v>20</v>
      </c>
    </row>
    <row r="34" spans="2:8" ht="33" customHeight="1" x14ac:dyDescent="0.15">
      <c r="F34" s="330" t="s">
        <v>234</v>
      </c>
      <c r="G34" s="499" t="s">
        <v>235</v>
      </c>
      <c r="H34" s="332">
        <v>20</v>
      </c>
    </row>
    <row r="35" spans="2:8" ht="33" customHeight="1" x14ac:dyDescent="0.15">
      <c r="F35" s="330" t="s">
        <v>268</v>
      </c>
      <c r="G35" s="500" t="s">
        <v>269</v>
      </c>
      <c r="H35" s="332">
        <v>40</v>
      </c>
    </row>
    <row r="36" spans="2:8" ht="33" customHeight="1" x14ac:dyDescent="0.15">
      <c r="F36" s="330" t="s">
        <v>270</v>
      </c>
      <c r="G36" s="500" t="s">
        <v>272</v>
      </c>
      <c r="H36" s="332">
        <v>480000</v>
      </c>
    </row>
    <row r="37" spans="2:8" ht="33" customHeight="1" x14ac:dyDescent="0.15">
      <c r="F37" s="330" t="s">
        <v>271</v>
      </c>
      <c r="G37" s="500" t="s">
        <v>273</v>
      </c>
      <c r="H37" s="332">
        <v>430000</v>
      </c>
    </row>
    <row r="38" spans="2:8" ht="21" customHeight="1" x14ac:dyDescent="0.15">
      <c r="B38" s="135" t="s">
        <v>220</v>
      </c>
    </row>
    <row r="39" spans="2:8" ht="21" customHeight="1" x14ac:dyDescent="0.15">
      <c r="C39" s="48" t="s">
        <v>217</v>
      </c>
    </row>
    <row r="40" spans="2:8" ht="21" customHeight="1" x14ac:dyDescent="0.15">
      <c r="C40" s="48" t="s">
        <v>221</v>
      </c>
    </row>
    <row r="41" spans="2:8" ht="21" customHeight="1" x14ac:dyDescent="0.15">
      <c r="C41" s="48" t="s">
        <v>218</v>
      </c>
    </row>
    <row r="42" spans="2:8" ht="21" customHeight="1" x14ac:dyDescent="0.15">
      <c r="C42" s="48" t="s">
        <v>219</v>
      </c>
    </row>
    <row r="43" spans="2:8" ht="21" customHeight="1" x14ac:dyDescent="0.15"/>
    <row r="44" spans="2:8" ht="21" customHeight="1" x14ac:dyDescent="0.15">
      <c r="B44" s="135" t="s">
        <v>222</v>
      </c>
    </row>
    <row r="45" spans="2:8" ht="21" customHeight="1" x14ac:dyDescent="0.15">
      <c r="C45" s="48" t="s">
        <v>223</v>
      </c>
    </row>
    <row r="46" spans="2:8" ht="21" customHeight="1" x14ac:dyDescent="0.15">
      <c r="C46" s="48" t="s">
        <v>224</v>
      </c>
    </row>
    <row r="47" spans="2:8" ht="21" customHeight="1" x14ac:dyDescent="0.15">
      <c r="C47" s="48" t="s">
        <v>225</v>
      </c>
    </row>
    <row r="48" spans="2:8" ht="21" customHeight="1" x14ac:dyDescent="0.15">
      <c r="C48" s="48" t="s">
        <v>226</v>
      </c>
    </row>
    <row r="49" spans="3:3" ht="9.75" customHeight="1" x14ac:dyDescent="0.15"/>
    <row r="50" spans="3:3" ht="39.75" customHeight="1" x14ac:dyDescent="0.15">
      <c r="C50" s="703" t="s">
        <v>264</v>
      </c>
    </row>
    <row r="51" spans="3:3" ht="30" customHeight="1" x14ac:dyDescent="0.15">
      <c r="C51" s="703" t="s">
        <v>265</v>
      </c>
    </row>
    <row r="52" spans="3:3" ht="21" customHeight="1" x14ac:dyDescent="0.15">
      <c r="C52" s="48"/>
    </row>
    <row r="53" spans="3:3" ht="21" customHeight="1" x14ac:dyDescent="0.15">
      <c r="C53" s="48"/>
    </row>
    <row r="54" spans="3:3" ht="21" customHeight="1" x14ac:dyDescent="0.15"/>
    <row r="55" spans="3:3" ht="21" customHeight="1" x14ac:dyDescent="0.15"/>
    <row r="56" spans="3:3" ht="21" customHeight="1" x14ac:dyDescent="0.15"/>
    <row r="57" spans="3:3" ht="21" customHeight="1" x14ac:dyDescent="0.15"/>
    <row r="58" spans="3:3" ht="21" customHeight="1" x14ac:dyDescent="0.15"/>
    <row r="59" spans="3:3" ht="21" customHeight="1" x14ac:dyDescent="0.15"/>
    <row r="60" spans="3:3" ht="21" customHeight="1" x14ac:dyDescent="0.15"/>
    <row r="61" spans="3:3" ht="21" customHeight="1" x14ac:dyDescent="0.15"/>
    <row r="62" spans="3:3" ht="21" customHeight="1" x14ac:dyDescent="0.15"/>
    <row r="63" spans="3:3" ht="21" customHeight="1" x14ac:dyDescent="0.15"/>
    <row r="64" spans="3:3" ht="21" customHeight="1" x14ac:dyDescent="0.15"/>
    <row r="65" ht="21" customHeight="1" x14ac:dyDescent="0.15"/>
    <row r="66" ht="21" customHeight="1" x14ac:dyDescent="0.15"/>
    <row r="67" ht="21" customHeight="1" x14ac:dyDescent="0.15"/>
    <row r="68" ht="21" customHeight="1" x14ac:dyDescent="0.15"/>
    <row r="69" ht="21" customHeight="1" x14ac:dyDescent="0.15"/>
    <row r="70" ht="21" customHeight="1" x14ac:dyDescent="0.15"/>
    <row r="71" ht="21" customHeight="1" x14ac:dyDescent="0.15"/>
    <row r="72" ht="21" customHeight="1" x14ac:dyDescent="0.15"/>
    <row r="73" ht="21" customHeight="1" x14ac:dyDescent="0.15"/>
    <row r="74" ht="21" customHeight="1" x14ac:dyDescent="0.15"/>
    <row r="75" ht="21" customHeight="1" x14ac:dyDescent="0.15"/>
    <row r="76" ht="21" customHeight="1" x14ac:dyDescent="0.15"/>
    <row r="77" ht="21" customHeight="1" x14ac:dyDescent="0.15"/>
    <row r="78" ht="21" customHeight="1" x14ac:dyDescent="0.15"/>
    <row r="79" ht="21" customHeight="1" x14ac:dyDescent="0.15"/>
    <row r="80" ht="21" customHeight="1" x14ac:dyDescent="0.15"/>
    <row r="81" ht="21" customHeight="1" x14ac:dyDescent="0.15"/>
    <row r="82" ht="21" customHeight="1" x14ac:dyDescent="0.15"/>
    <row r="83" ht="21" customHeight="1" x14ac:dyDescent="0.15"/>
    <row r="84" ht="21" customHeight="1" x14ac:dyDescent="0.15"/>
    <row r="85" ht="21" customHeight="1" x14ac:dyDescent="0.15"/>
    <row r="86" ht="21" customHeight="1" x14ac:dyDescent="0.15"/>
    <row r="87" ht="21" customHeight="1" x14ac:dyDescent="0.15"/>
    <row r="88" ht="21" customHeight="1" x14ac:dyDescent="0.15"/>
    <row r="89" ht="21" customHeight="1" x14ac:dyDescent="0.15"/>
    <row r="90" ht="21" customHeight="1" x14ac:dyDescent="0.15"/>
    <row r="91" ht="21" customHeight="1" x14ac:dyDescent="0.15"/>
    <row r="92" ht="21" customHeight="1" x14ac:dyDescent="0.15"/>
    <row r="93" ht="21" customHeight="1" x14ac:dyDescent="0.15"/>
    <row r="94" ht="21" customHeight="1" x14ac:dyDescent="0.15"/>
    <row r="95" ht="21" customHeight="1" x14ac:dyDescent="0.15"/>
  </sheetData>
  <sheetProtection sheet="1" objects="1" scenarios="1"/>
  <mergeCells count="23">
    <mergeCell ref="B14:B17"/>
    <mergeCell ref="E16:E17"/>
    <mergeCell ref="F16:F17"/>
    <mergeCell ref="G16:G17"/>
    <mergeCell ref="D7:D9"/>
    <mergeCell ref="D11:D13"/>
    <mergeCell ref="B6:B9"/>
    <mergeCell ref="C6:C9"/>
    <mergeCell ref="E8:E9"/>
    <mergeCell ref="C10:C13"/>
    <mergeCell ref="B10:B13"/>
    <mergeCell ref="E12:E13"/>
    <mergeCell ref="C14:C17"/>
    <mergeCell ref="D15:D17"/>
    <mergeCell ref="F8:F9"/>
    <mergeCell ref="F12:F13"/>
    <mergeCell ref="F30:F31"/>
    <mergeCell ref="F32:F33"/>
    <mergeCell ref="H14:H17"/>
    <mergeCell ref="H6:H9"/>
    <mergeCell ref="H10:H13"/>
    <mergeCell ref="G8:G9"/>
    <mergeCell ref="G12:G13"/>
  </mergeCells>
  <phoneticPr fontId="3"/>
  <pageMargins left="0.70866141732283472" right="0.70866141732283472" top="0.74803149606299213" bottom="0.74803149606299213" header="0.31496062992125984" footer="0.31496062992125984"/>
  <pageSetup paperSize="9" scale="57" orientation="landscape" verticalDpi="0" r:id="rId1"/>
  <headerFooter>
    <oddFooter>&amp;C&amp;P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A3022-67D6-49A7-B3A9-FC024143AC6F}">
  <sheetPr>
    <tabColor rgb="FFFF0000"/>
    <pageSetUpPr autoPageBreaks="0"/>
  </sheetPr>
  <dimension ref="B1:BH47"/>
  <sheetViews>
    <sheetView showGridLines="0" zoomScaleNormal="100" zoomScaleSheetLayoutView="80" workbookViewId="0">
      <selection activeCell="I20" sqref="I20"/>
    </sheetView>
  </sheetViews>
  <sheetFormatPr defaultRowHeight="14.25" x14ac:dyDescent="0.15"/>
  <cols>
    <col min="1" max="1" width="2.625" style="38" customWidth="1"/>
    <col min="2" max="2" width="6" style="38" customWidth="1"/>
    <col min="3" max="3" width="17.625" style="38" customWidth="1"/>
    <col min="4" max="4" width="9.375" style="38" hidden="1" customWidth="1"/>
    <col min="5" max="5" width="17.625" style="38" customWidth="1"/>
    <col min="6" max="6" width="11.875" style="38" customWidth="1"/>
    <col min="7" max="7" width="17.625" style="38" customWidth="1"/>
    <col min="8" max="8" width="9.625" style="38" customWidth="1"/>
    <col min="9" max="9" width="11.625" style="38" customWidth="1"/>
    <col min="10" max="10" width="14.625" style="38" customWidth="1"/>
    <col min="11" max="12" width="11.625" style="38" customWidth="1"/>
    <col min="13" max="13" width="14.75" style="38" customWidth="1"/>
    <col min="14" max="14" width="14.25" style="38" customWidth="1"/>
    <col min="15" max="20" width="14.625" style="38" customWidth="1"/>
    <col min="21" max="21" width="14" style="38" customWidth="1"/>
    <col min="22" max="22" width="14.75" style="38" customWidth="1"/>
    <col min="23" max="23" width="12" style="38" customWidth="1"/>
    <col min="24" max="25" width="14.25" style="38" customWidth="1"/>
    <col min="26" max="26" width="13.25" style="38" customWidth="1"/>
    <col min="27" max="27" width="11.625" style="38" customWidth="1"/>
    <col min="28" max="30" width="14.375" style="38" customWidth="1"/>
    <col min="31" max="31" width="11.625" style="38" customWidth="1"/>
    <col min="32" max="32" width="12.375" style="38" customWidth="1"/>
    <col min="33" max="33" width="16.25" style="38" customWidth="1"/>
    <col min="34" max="34" width="12.375" style="38" customWidth="1"/>
    <col min="35" max="40" width="14.875" style="38" customWidth="1"/>
    <col min="41" max="42" width="15.125" style="38" customWidth="1"/>
    <col min="43" max="43" width="19.625" style="38" customWidth="1"/>
    <col min="44" max="45" width="14.625" style="38" customWidth="1"/>
    <col min="46" max="47" width="15.625" style="38" customWidth="1"/>
    <col min="48" max="48" width="14.625" style="38" customWidth="1"/>
    <col min="49" max="49" width="17.875" style="38" customWidth="1"/>
    <col min="50" max="50" width="12.25" style="38" customWidth="1"/>
    <col min="51" max="52" width="17.625" style="38" customWidth="1"/>
    <col min="53" max="53" width="12" style="38" customWidth="1"/>
    <col min="54" max="54" width="0.25" style="38" customWidth="1"/>
    <col min="55" max="55" width="25.375" style="38" customWidth="1"/>
    <col min="56" max="59" width="25.75" style="38" customWidth="1"/>
    <col min="60" max="63" width="28.625" style="38" customWidth="1"/>
    <col min="64" max="65" width="15.5" style="38" customWidth="1"/>
    <col min="66" max="16384" width="9" style="38"/>
  </cols>
  <sheetData>
    <row r="1" spans="2:60" s="477" customFormat="1" ht="12" thickBot="1" x14ac:dyDescent="0.2">
      <c r="C1" s="477">
        <v>1</v>
      </c>
      <c r="D1" s="477">
        <v>2</v>
      </c>
      <c r="E1" s="477">
        <v>3</v>
      </c>
      <c r="F1" s="477">
        <v>4</v>
      </c>
      <c r="G1" s="477">
        <v>5</v>
      </c>
      <c r="H1" s="477">
        <v>6</v>
      </c>
      <c r="I1" s="477">
        <v>7</v>
      </c>
      <c r="J1" s="477">
        <v>8</v>
      </c>
      <c r="K1" s="477">
        <v>9</v>
      </c>
      <c r="L1" s="477">
        <v>10</v>
      </c>
      <c r="M1" s="477">
        <v>11</v>
      </c>
      <c r="N1" s="477">
        <v>12</v>
      </c>
      <c r="O1" s="477">
        <v>13</v>
      </c>
      <c r="P1" s="477">
        <v>14</v>
      </c>
      <c r="Q1" s="477">
        <v>15</v>
      </c>
      <c r="R1" s="477">
        <v>16</v>
      </c>
      <c r="S1" s="477">
        <v>17</v>
      </c>
      <c r="T1" s="477">
        <v>18</v>
      </c>
      <c r="U1" s="477">
        <v>19</v>
      </c>
      <c r="V1" s="477">
        <v>20</v>
      </c>
      <c r="W1" s="477">
        <v>21</v>
      </c>
      <c r="X1" s="477">
        <v>22</v>
      </c>
      <c r="Y1" s="477">
        <v>23</v>
      </c>
      <c r="Z1" s="477">
        <v>24</v>
      </c>
      <c r="AA1" s="477">
        <v>25</v>
      </c>
      <c r="AB1" s="477">
        <v>26</v>
      </c>
      <c r="AC1" s="477">
        <v>27</v>
      </c>
      <c r="AD1" s="477">
        <v>28</v>
      </c>
      <c r="AE1" s="477">
        <v>29</v>
      </c>
      <c r="AF1" s="477">
        <v>30</v>
      </c>
      <c r="AG1" s="477">
        <v>31</v>
      </c>
      <c r="AH1" s="477">
        <v>32</v>
      </c>
      <c r="AI1" s="477">
        <v>33</v>
      </c>
      <c r="AJ1" s="477">
        <v>34</v>
      </c>
      <c r="AK1" s="477">
        <v>35</v>
      </c>
      <c r="AL1" s="477">
        <v>36</v>
      </c>
      <c r="AM1" s="477">
        <v>37</v>
      </c>
      <c r="AN1" s="477">
        <v>38</v>
      </c>
      <c r="AO1" s="477">
        <v>39</v>
      </c>
      <c r="AP1" s="477">
        <v>40</v>
      </c>
      <c r="AQ1" s="477">
        <v>41</v>
      </c>
      <c r="AR1" s="477">
        <v>42</v>
      </c>
      <c r="AS1" s="477">
        <v>43</v>
      </c>
      <c r="AT1" s="477">
        <v>44</v>
      </c>
      <c r="AU1" s="477">
        <v>45</v>
      </c>
      <c r="AV1" s="477">
        <v>46</v>
      </c>
      <c r="AW1" s="477">
        <v>47</v>
      </c>
    </row>
    <row r="2" spans="2:60" ht="38.25" customHeight="1" thickBot="1" x14ac:dyDescent="0.25">
      <c r="C2" s="478" t="s">
        <v>341</v>
      </c>
      <c r="D2" s="111"/>
      <c r="K2" s="483">
        <f>IF('1-1.従業員データ給与改定案入力画面'!$N$2="","",IF(OR('1-1.従業員データ給与改定案入力画面'!$N$2=2,'1-1.従業員データ給与改定案入力画面'!$N$2=1),"",'1-1.従業員データ給与改定案入力画面'!$N$2))</f>
        <v>3</v>
      </c>
      <c r="N2" s="207"/>
      <c r="AB2" s="150" t="s">
        <v>27</v>
      </c>
      <c r="AD2" s="151" t="s">
        <v>28</v>
      </c>
    </row>
    <row r="3" spans="2:60" ht="19.5" customHeight="1" thickBot="1" x14ac:dyDescent="0.2">
      <c r="E3" s="203" t="s">
        <v>111</v>
      </c>
      <c r="F3" s="203"/>
      <c r="G3" s="203"/>
      <c r="J3" s="204"/>
      <c r="K3" s="204"/>
      <c r="L3" s="204"/>
      <c r="O3" s="191"/>
      <c r="AG3" s="40"/>
      <c r="AH3" s="40"/>
      <c r="AI3" s="40"/>
      <c r="AJ3" s="40"/>
      <c r="AK3" s="40"/>
      <c r="AY3" s="208"/>
      <c r="AZ3" s="208"/>
      <c r="BA3" s="208"/>
      <c r="BB3" s="208"/>
      <c r="BC3" s="333"/>
      <c r="BD3" s="333" t="s">
        <v>190</v>
      </c>
      <c r="BE3" s="480">
        <v>2</v>
      </c>
      <c r="BF3" s="480">
        <v>3</v>
      </c>
      <c r="BG3" s="480">
        <v>4</v>
      </c>
      <c r="BH3" s="484"/>
    </row>
    <row r="4" spans="2:60" ht="24.95" customHeight="1" thickBot="1" x14ac:dyDescent="0.2">
      <c r="C4" s="55" t="s">
        <v>79</v>
      </c>
      <c r="E4" s="463">
        <v>103</v>
      </c>
      <c r="F4" s="704"/>
      <c r="G4" s="704"/>
      <c r="I4" s="199"/>
      <c r="J4" s="1031" t="s">
        <v>252</v>
      </c>
      <c r="K4" s="1019" t="s">
        <v>253</v>
      </c>
      <c r="L4" s="1019" t="s">
        <v>254</v>
      </c>
      <c r="M4" s="1020" t="s">
        <v>160</v>
      </c>
      <c r="Q4" s="200"/>
      <c r="R4" s="200"/>
      <c r="S4" s="200"/>
      <c r="T4" s="200"/>
      <c r="U4" s="49"/>
      <c r="X4" s="118" t="s">
        <v>118</v>
      </c>
      <c r="AA4" s="1033" t="s">
        <v>21</v>
      </c>
      <c r="AB4" s="1034"/>
      <c r="AC4" s="1034"/>
      <c r="AD4" s="1034"/>
      <c r="AE4" s="1035"/>
      <c r="AG4" s="39"/>
      <c r="AH4" s="39"/>
      <c r="AJ4" s="118" t="s">
        <v>119</v>
      </c>
      <c r="AK4" s="39"/>
      <c r="AQ4" s="118" t="s">
        <v>117</v>
      </c>
      <c r="AS4" s="181" t="s">
        <v>158</v>
      </c>
      <c r="AW4" s="118" t="s">
        <v>266</v>
      </c>
      <c r="AX4" s="118"/>
      <c r="AY4" s="208"/>
      <c r="AZ4" s="208"/>
      <c r="BA4" s="208"/>
      <c r="BB4" s="208"/>
      <c r="BC4" s="209" t="s">
        <v>195</v>
      </c>
      <c r="BD4" s="209" t="s">
        <v>205</v>
      </c>
      <c r="BE4" s="224" t="s">
        <v>330</v>
      </c>
      <c r="BF4" s="224" t="s">
        <v>331</v>
      </c>
      <c r="BG4" s="224" t="s">
        <v>332</v>
      </c>
    </row>
    <row r="5" spans="2:60" ht="30" customHeight="1" thickBot="1" x14ac:dyDescent="0.2">
      <c r="C5" s="994" t="s">
        <v>110</v>
      </c>
      <c r="D5" s="995"/>
      <c r="E5" s="996"/>
      <c r="F5" s="200"/>
      <c r="G5" s="200"/>
      <c r="I5" s="200"/>
      <c r="J5" s="1032"/>
      <c r="K5" s="1019"/>
      <c r="L5" s="1019"/>
      <c r="M5" s="1020"/>
      <c r="Q5" s="200"/>
      <c r="R5" s="200"/>
      <c r="S5" s="200"/>
      <c r="T5" s="200"/>
      <c r="U5" s="49"/>
      <c r="X5" s="118"/>
      <c r="AA5" s="142" t="s">
        <v>133</v>
      </c>
      <c r="AB5" s="143" t="s">
        <v>134</v>
      </c>
      <c r="AC5" s="58" t="s">
        <v>33</v>
      </c>
      <c r="AD5" s="58" t="s">
        <v>34</v>
      </c>
      <c r="AE5" s="82" t="s">
        <v>107</v>
      </c>
      <c r="AG5" s="39"/>
      <c r="AH5" s="39"/>
      <c r="AJ5" s="118"/>
      <c r="AK5" s="39"/>
      <c r="AQ5" s="118"/>
      <c r="AS5" s="1005" t="s">
        <v>139</v>
      </c>
      <c r="AT5" s="1007"/>
      <c r="AW5" s="118"/>
      <c r="AX5" s="118"/>
      <c r="AY5" s="208"/>
      <c r="AZ5" s="208"/>
      <c r="BA5" s="210" t="s">
        <v>189</v>
      </c>
      <c r="BC5" s="224" t="s">
        <v>322</v>
      </c>
      <c r="BD5" s="209">
        <v>1</v>
      </c>
      <c r="BE5" s="209"/>
      <c r="BF5" s="209">
        <v>2</v>
      </c>
      <c r="BG5" s="209"/>
    </row>
    <row r="6" spans="2:60" ht="28.5" customHeight="1" thickBot="1" x14ac:dyDescent="0.2">
      <c r="C6" s="80" t="str">
        <f>IF($E$4="","",VLOOKUP($E$4,'1-1.従業員データ給与改定案入力画面'!$C$10:$AL$1010,2,0))</f>
        <v>ＡＣ</v>
      </c>
      <c r="E6" s="55" t="s">
        <v>32</v>
      </c>
      <c r="F6" s="200"/>
      <c r="G6" s="200"/>
      <c r="I6" s="200"/>
      <c r="J6" s="54">
        <f>IF($E$4="","",VLOOKUP($E$4,'1-1.従業員データ給与改定案入力画面'!$C$10:$AL$1010,31,0)-VLOOKUP($E$4,'1-1.従業員データ給与改定案入力画面'!$C$10:$AL$1010,19,0))</f>
        <v>2000</v>
      </c>
      <c r="K6" s="54">
        <f>IF($E$4="","",VLOOKUP($E$4,'1-1.従業員データ給与改定案入力画面'!$C$10:$AL$1010,32,0)-VLOOKUP($E$4,'1-1.従業員データ給与改定案入力画面'!$C$10:$AL$1010,19,0))</f>
        <v>4500</v>
      </c>
      <c r="L6" s="54">
        <f>IF($E$4="","",VLOOKUP($E$4,'1-1.従業員データ給与改定案入力画面'!$C$10:$AL$1010,30,0)-VLOOKUP($E$4,'1-1.従業員データ給与改定案入力画面'!$C$10:$AL$1010,19,0))</f>
        <v>0</v>
      </c>
      <c r="M6" s="54">
        <f>IF($E$4="","",VLOOKUP($E$4,'1-1.従業員データ給与改定案入力画面'!$C$10:$AL$1010,36,0))</f>
        <v>0</v>
      </c>
      <c r="Q6" s="221"/>
      <c r="R6" s="221"/>
      <c r="S6" s="221"/>
      <c r="T6" s="221"/>
      <c r="U6" s="221"/>
      <c r="AA6" s="139">
        <f>'2-2.保険料・地方税等入力画面'!$G$7</f>
        <v>0.10290000000000001</v>
      </c>
      <c r="AB6" s="140">
        <f>'2-2.保険料・地方税等入力画面'!$H$7</f>
        <v>0.1211</v>
      </c>
      <c r="AC6" s="140">
        <f>'2-2.保険料・地方税等入力画面'!$I$7</f>
        <v>1.8199999999999994E-2</v>
      </c>
      <c r="AD6" s="140">
        <f>'2-2.保険料・地方税等入力画面'!$J$7</f>
        <v>0.183</v>
      </c>
      <c r="AE6" s="141">
        <f>'2-2.保険料・地方税等入力画面'!$E$5</f>
        <v>1.55E-2</v>
      </c>
      <c r="AG6" s="39"/>
      <c r="AH6" s="39"/>
      <c r="AJ6" s="39"/>
      <c r="AK6" s="39"/>
      <c r="AS6" s="335" t="s">
        <v>81</v>
      </c>
      <c r="AT6" s="335" t="s">
        <v>65</v>
      </c>
      <c r="AY6" s="208"/>
      <c r="AZ6" s="208"/>
      <c r="BA6" s="210" t="s">
        <v>191</v>
      </c>
      <c r="BC6" s="224" t="s">
        <v>193</v>
      </c>
      <c r="BD6" s="209">
        <v>2</v>
      </c>
      <c r="BE6" s="209"/>
      <c r="BF6" s="209">
        <v>2</v>
      </c>
      <c r="BG6" s="209"/>
    </row>
    <row r="7" spans="2:60" ht="21" customHeight="1" thickBot="1" x14ac:dyDescent="0.25">
      <c r="C7" s="56" t="s">
        <v>168</v>
      </c>
      <c r="E7" s="57">
        <f>IF($E$4="","",VLOOKUP($E$4,'1-1.従業員データ給与改定案入力画面'!$C$10:$AL$1010,11,0))</f>
        <v>4</v>
      </c>
      <c r="F7" s="201"/>
      <c r="G7" s="150" t="s">
        <v>286</v>
      </c>
      <c r="I7" s="191"/>
      <c r="J7" s="59"/>
      <c r="K7" s="59"/>
      <c r="L7" s="59"/>
      <c r="M7" s="676"/>
      <c r="AA7" s="178">
        <f>AA6/2</f>
        <v>5.1450000000000003E-2</v>
      </c>
      <c r="AB7" s="179">
        <f>AB6/2</f>
        <v>6.055E-2</v>
      </c>
      <c r="AC7" s="179">
        <f>AC6/2</f>
        <v>9.099999999999997E-3</v>
      </c>
      <c r="AD7" s="179">
        <f>AD6/2</f>
        <v>9.1499999999999998E-2</v>
      </c>
      <c r="AE7" s="180">
        <f>'2-2.保険料・地方税等入力画面'!$E$6</f>
        <v>6.0000000000000001E-3</v>
      </c>
      <c r="AG7" s="39"/>
      <c r="AH7" s="39"/>
      <c r="AI7" s="39"/>
      <c r="AJ7" s="39"/>
      <c r="AK7" s="39"/>
      <c r="AQ7" s="336" t="s">
        <v>129</v>
      </c>
      <c r="AR7" s="40"/>
      <c r="AS7" s="147">
        <f>IF($AQ$8="","",VLOOKUP($AQ$8,'2-2.保険料・地方税等入力画面'!$D$20:$K$79,7,0))</f>
        <v>965000</v>
      </c>
      <c r="AT7" s="147">
        <f>IF($AQ$8="","",VLOOKUP($AQ$8,'2-2.保険料・地方税等入力画面'!$D$20:$K$79,8,0))</f>
        <v>1000000</v>
      </c>
      <c r="AY7" s="208"/>
      <c r="AZ7" s="208"/>
      <c r="BA7" s="210" t="s">
        <v>192</v>
      </c>
      <c r="BC7" s="224" t="s">
        <v>194</v>
      </c>
      <c r="BD7" s="209">
        <v>3</v>
      </c>
      <c r="BE7" s="209">
        <v>1</v>
      </c>
      <c r="BF7" s="209"/>
      <c r="BG7" s="209">
        <v>1</v>
      </c>
    </row>
    <row r="8" spans="2:60" ht="21" customHeight="1" thickBot="1" x14ac:dyDescent="0.2">
      <c r="C8" s="56" t="s">
        <v>102</v>
      </c>
      <c r="E8" s="57">
        <f>IF($E$4="","",VLOOKUP($E$4,'1-1.従業員データ給与改定案入力画面'!$C$10:$AL$1010,12,0))</f>
        <v>4</v>
      </c>
      <c r="F8" s="201"/>
      <c r="G8" s="201"/>
      <c r="H8" s="450"/>
      <c r="I8" s="451"/>
      <c r="J8" s="450"/>
      <c r="K8" s="59"/>
      <c r="L8" s="59"/>
      <c r="M8" s="1016" t="s">
        <v>297</v>
      </c>
      <c r="N8" s="1017"/>
      <c r="S8" s="1023" t="s">
        <v>108</v>
      </c>
      <c r="T8" s="1024"/>
      <c r="U8" s="1025"/>
      <c r="AI8" s="39"/>
      <c r="AQ8" s="337" t="str">
        <f>IF($E$4="","",VLOOKUP($E$4,'1-1.従業員データ給与改定案入力画面'!$C$10:$AL$1010,3,0))</f>
        <v>奈良市</v>
      </c>
      <c r="AS8" s="1018" t="s">
        <v>64</v>
      </c>
      <c r="AT8" s="1018"/>
      <c r="AU8" s="1005" t="s">
        <v>65</v>
      </c>
      <c r="AV8" s="1006"/>
      <c r="AW8" s="118"/>
    </row>
    <row r="9" spans="2:60" ht="21" customHeight="1" thickBot="1" x14ac:dyDescent="0.2">
      <c r="C9" s="56" t="s">
        <v>293</v>
      </c>
      <c r="E9" s="393">
        <f>IF($E$4="","",VLOOKUP($E$4,'1-1.従業員データ給与改定案入力画面'!$C$10:$AL$1010,15,0))</f>
        <v>960</v>
      </c>
      <c r="F9" s="202"/>
      <c r="G9" s="202"/>
      <c r="H9" s="450"/>
      <c r="I9" s="450"/>
      <c r="J9" s="418"/>
      <c r="K9" s="40"/>
      <c r="L9" s="40"/>
      <c r="M9" s="391">
        <v>1000000</v>
      </c>
      <c r="N9" s="705" t="s">
        <v>298</v>
      </c>
      <c r="S9" s="1026" t="s">
        <v>196</v>
      </c>
      <c r="T9" s="1027"/>
      <c r="U9" s="482">
        <f>IF($E$4="","",IF($K$2="","",IF($K$2=3,VLOOKUP($K$2,$BD$5:$BG$7,2,0),IF($K$2=2,VLOOKUP($K$2,$BD$5:$BG$7,3,0),IF($K$2=1,VLOOKUP($K$2,$BD$5:$BG$7,4,0),"")))))</f>
        <v>1</v>
      </c>
      <c r="V9" s="356" t="s">
        <v>197</v>
      </c>
      <c r="AF9" s="1029" t="s">
        <v>112</v>
      </c>
      <c r="AI9" s="39"/>
      <c r="AM9" s="51"/>
      <c r="AS9" s="338" t="s">
        <v>143</v>
      </c>
      <c r="AT9" s="338" t="s">
        <v>142</v>
      </c>
      <c r="AU9" s="334" t="s">
        <v>67</v>
      </c>
      <c r="AV9" s="338" t="s">
        <v>142</v>
      </c>
      <c r="AW9" s="118"/>
    </row>
    <row r="10" spans="2:60" ht="21" customHeight="1" thickBot="1" x14ac:dyDescent="0.2">
      <c r="C10" s="55" t="s">
        <v>19</v>
      </c>
      <c r="E10" s="57">
        <f>IF($E$4="","",VLOOKUP($E$4,'1-1.従業員データ給与改定案入力画面'!$C$10:$AL$1010,7,0))</f>
        <v>37</v>
      </c>
      <c r="F10" s="201"/>
      <c r="G10" s="1012" t="s">
        <v>340</v>
      </c>
      <c r="H10" s="1013"/>
      <c r="I10" s="450"/>
      <c r="J10" s="706"/>
      <c r="K10" s="220"/>
      <c r="L10" s="220"/>
      <c r="M10" s="391">
        <v>1000000</v>
      </c>
      <c r="N10" s="707" t="s">
        <v>299</v>
      </c>
      <c r="S10" s="1026" t="s">
        <v>122</v>
      </c>
      <c r="T10" s="1028"/>
      <c r="U10" s="481">
        <f>$BG$11</f>
        <v>1300000</v>
      </c>
      <c r="V10" s="83" t="s">
        <v>140</v>
      </c>
      <c r="AD10" s="134"/>
      <c r="AE10" s="49"/>
      <c r="AF10" s="1030"/>
      <c r="AI10" s="39"/>
      <c r="AJ10" s="39"/>
      <c r="AS10" s="339">
        <f>IF($AQ$8="","",VLOOKUP($AQ$8,'2-2.保険料・地方税等入力画面'!$D$20:$K$79,2,0))</f>
        <v>2000</v>
      </c>
      <c r="AT10" s="340">
        <f>IF($AQ$8="","",VLOOKUP($AQ$8,'2-2.保険料・地方税等入力画面'!$D$20:$K$79,3,0))</f>
        <v>3500</v>
      </c>
      <c r="AU10" s="341">
        <f>IF($AQ$8="","",VLOOKUP($AQ$8,'2-2.保険料・地方税等入力画面'!$D$20:$K$79,4,0))</f>
        <v>0.04</v>
      </c>
      <c r="AV10" s="342">
        <f>IF($AQ$8="","",VLOOKUP($AQ$8,'2-2.保険料・地方税等入力画面'!$D$20:$K$79,5,0))</f>
        <v>0.06</v>
      </c>
      <c r="AW10" s="118"/>
      <c r="BD10" s="224" t="s">
        <v>205</v>
      </c>
      <c r="BE10" s="998" t="s">
        <v>228</v>
      </c>
      <c r="BF10" s="998"/>
      <c r="BG10" s="223" t="s">
        <v>231</v>
      </c>
    </row>
    <row r="11" spans="2:60" ht="21" customHeight="1" thickBot="1" x14ac:dyDescent="0.2">
      <c r="C11" s="55" t="s">
        <v>145</v>
      </c>
      <c r="E11" s="57" t="str">
        <f>IF($E$4="","",VLOOKUP($E$4,'1-1.従業員データ給与改定案入力画面'!$C$10:$AL$1010,3,0))</f>
        <v>奈良市</v>
      </c>
      <c r="F11" s="201"/>
      <c r="G11" s="1014"/>
      <c r="H11" s="1015"/>
      <c r="I11" s="450"/>
      <c r="J11" s="706"/>
      <c r="M11" s="391">
        <v>1030000</v>
      </c>
      <c r="N11" s="708" t="s">
        <v>301</v>
      </c>
      <c r="S11" s="1021" t="s">
        <v>121</v>
      </c>
      <c r="T11" s="1022"/>
      <c r="U11" s="479">
        <f>$BG$12</f>
        <v>30</v>
      </c>
      <c r="V11" s="83" t="s">
        <v>267</v>
      </c>
      <c r="AA11" s="219"/>
      <c r="AD11" s="220"/>
      <c r="AF11" s="216">
        <f>$BG$15</f>
        <v>20</v>
      </c>
      <c r="AJ11" s="39"/>
      <c r="AV11" s="156" t="s">
        <v>144</v>
      </c>
      <c r="BD11" s="1003" t="s">
        <v>232</v>
      </c>
      <c r="BE11" s="998" t="s">
        <v>237</v>
      </c>
      <c r="BF11" s="998"/>
      <c r="BG11" s="213">
        <v>1300000</v>
      </c>
    </row>
    <row r="12" spans="2:60" ht="22.5" customHeight="1" thickBot="1" x14ac:dyDescent="0.2">
      <c r="C12" s="157" t="s">
        <v>294</v>
      </c>
      <c r="D12" s="200"/>
      <c r="E12" s="448"/>
      <c r="F12" s="448"/>
      <c r="G12" s="1010">
        <v>0.15</v>
      </c>
      <c r="H12" s="1011"/>
      <c r="I12" s="450"/>
      <c r="J12" s="706"/>
      <c r="K12" s="40"/>
      <c r="L12" s="40"/>
      <c r="M12" s="391">
        <v>1060000</v>
      </c>
      <c r="N12" s="392" t="s">
        <v>309</v>
      </c>
      <c r="S12" s="388" t="s">
        <v>113</v>
      </c>
      <c r="X12" s="105" t="s">
        <v>104</v>
      </c>
      <c r="Y12" s="106" t="s">
        <v>82</v>
      </c>
      <c r="Z12" s="107" t="s">
        <v>92</v>
      </c>
      <c r="AB12" s="105" t="s">
        <v>104</v>
      </c>
      <c r="AC12" s="106" t="s">
        <v>123</v>
      </c>
      <c r="AD12" s="214" t="s">
        <v>124</v>
      </c>
      <c r="AE12" s="360" t="s">
        <v>92</v>
      </c>
      <c r="AF12" s="88" t="s">
        <v>84</v>
      </c>
      <c r="AH12" s="39"/>
      <c r="AI12" s="41"/>
      <c r="AJ12" s="88" t="s">
        <v>115</v>
      </c>
      <c r="AO12" s="181"/>
      <c r="AR12" s="88" t="s">
        <v>115</v>
      </c>
      <c r="AT12" s="117" t="s">
        <v>98</v>
      </c>
      <c r="AU12" s="116" t="s">
        <v>116</v>
      </c>
      <c r="AV12" s="117" t="s">
        <v>16</v>
      </c>
      <c r="BD12" s="1004"/>
      <c r="BE12" s="999" t="s">
        <v>229</v>
      </c>
      <c r="BF12" s="999"/>
      <c r="BG12" s="213">
        <v>30</v>
      </c>
    </row>
    <row r="13" spans="2:60" s="40" customFormat="1" ht="29.25" customHeight="1" thickBot="1" x14ac:dyDescent="0.2">
      <c r="C13" s="57">
        <f>IF($E$4="","",VLOOKUP($E$4,'1-1.従業員データ給与改定案入力画面'!$C$10:$AL$1010,16,0))</f>
        <v>40</v>
      </c>
      <c r="D13" s="201"/>
      <c r="E13" s="449"/>
      <c r="F13" s="449"/>
      <c r="G13" s="449"/>
      <c r="J13" s="709"/>
      <c r="K13" s="211"/>
      <c r="L13" s="211"/>
      <c r="M13" s="710">
        <v>1300000</v>
      </c>
      <c r="N13" s="711" t="s">
        <v>300</v>
      </c>
      <c r="O13" s="388"/>
      <c r="Q13" s="1008"/>
      <c r="R13" s="1008"/>
      <c r="S13" s="1009" t="s">
        <v>320</v>
      </c>
      <c r="T13" s="1009"/>
      <c r="X13" s="112">
        <f>IF($U$9="","",$U$9)</f>
        <v>1</v>
      </c>
      <c r="Y13" s="113">
        <f>$BG$13</f>
        <v>88000</v>
      </c>
      <c r="Z13" s="222">
        <f>$BG$16</f>
        <v>40</v>
      </c>
      <c r="AA13" s="60"/>
      <c r="AB13" s="112">
        <f>IF($U$9="","",$U$9)</f>
        <v>1</v>
      </c>
      <c r="AC13" s="113">
        <f>IF($U$10="","",$U$10)</f>
        <v>1300000</v>
      </c>
      <c r="AD13" s="113">
        <f>IF($U$11="","",$U$11)</f>
        <v>30</v>
      </c>
      <c r="AE13" s="222">
        <f>$BG$16</f>
        <v>40</v>
      </c>
      <c r="AF13" s="87">
        <f>$AE$7</f>
        <v>6.0000000000000001E-3</v>
      </c>
      <c r="AG13" s="38"/>
      <c r="AH13" s="149"/>
      <c r="AJ13" s="114">
        <f>'3-2.所得算出参照表'!$I$16</f>
        <v>480000</v>
      </c>
      <c r="AK13" s="38"/>
      <c r="AL13" s="38"/>
      <c r="AM13" s="38"/>
      <c r="AN13" s="119"/>
      <c r="AP13" s="38"/>
      <c r="AQ13" s="38"/>
      <c r="AR13" s="125">
        <f>'3-2.所得算出参照表'!$I$17</f>
        <v>430000</v>
      </c>
      <c r="AS13" s="38"/>
      <c r="AT13" s="126">
        <f>IF($AS$10="",0,$AS$10+$AT$10)</f>
        <v>5500</v>
      </c>
      <c r="AU13" s="127">
        <f>IF($AU$10="",0,$AU$10+$AV$10)</f>
        <v>0.1</v>
      </c>
      <c r="AV13" s="126">
        <f>IF($AU$10="",0,'3-2.所得算出参照表'!$G$22)</f>
        <v>2000000</v>
      </c>
      <c r="AW13" s="1000" t="s">
        <v>120</v>
      </c>
      <c r="AX13" s="38"/>
      <c r="BD13" s="1002" t="s">
        <v>233</v>
      </c>
      <c r="BE13" s="998" t="s">
        <v>227</v>
      </c>
      <c r="BF13" s="998"/>
      <c r="BG13" s="213">
        <v>88000</v>
      </c>
    </row>
    <row r="14" spans="2:60" ht="53.25" customHeight="1" thickBot="1" x14ac:dyDescent="0.2">
      <c r="B14" s="464" t="s">
        <v>18</v>
      </c>
      <c r="C14" s="102" t="s">
        <v>295</v>
      </c>
      <c r="D14" s="465" t="s">
        <v>16</v>
      </c>
      <c r="E14" s="470" t="s">
        <v>318</v>
      </c>
      <c r="F14" s="471" t="s">
        <v>16</v>
      </c>
      <c r="G14" s="501" t="s">
        <v>317</v>
      </c>
      <c r="H14" s="452" t="s">
        <v>16</v>
      </c>
      <c r="I14" s="384" t="s">
        <v>321</v>
      </c>
      <c r="J14" s="384" t="s">
        <v>169</v>
      </c>
      <c r="K14" s="456" t="s">
        <v>106</v>
      </c>
      <c r="L14" s="507" t="s">
        <v>319</v>
      </c>
      <c r="M14" s="508" t="s">
        <v>296</v>
      </c>
      <c r="N14" s="509" t="s">
        <v>256</v>
      </c>
      <c r="O14" s="510" t="s">
        <v>16</v>
      </c>
      <c r="P14" s="511" t="s">
        <v>16</v>
      </c>
      <c r="Q14" s="510" t="s">
        <v>16</v>
      </c>
      <c r="R14" s="512" t="s">
        <v>16</v>
      </c>
      <c r="S14" s="505" t="s">
        <v>255</v>
      </c>
      <c r="T14" s="504" t="s">
        <v>17</v>
      </c>
      <c r="U14" s="460" t="s">
        <v>161</v>
      </c>
      <c r="V14" s="460" t="s">
        <v>163</v>
      </c>
      <c r="W14" s="217" t="s">
        <v>238</v>
      </c>
      <c r="X14" s="190" t="s">
        <v>93</v>
      </c>
      <c r="Y14" s="89" t="s">
        <v>94</v>
      </c>
      <c r="Z14" s="89" t="s">
        <v>95</v>
      </c>
      <c r="AA14" s="90" t="s">
        <v>109</v>
      </c>
      <c r="AB14" s="77" t="s">
        <v>93</v>
      </c>
      <c r="AC14" s="78" t="s">
        <v>94</v>
      </c>
      <c r="AD14" s="78" t="s">
        <v>95</v>
      </c>
      <c r="AE14" s="79" t="s">
        <v>109</v>
      </c>
      <c r="AF14" s="86" t="s">
        <v>162</v>
      </c>
      <c r="AG14" s="65" t="s">
        <v>114</v>
      </c>
      <c r="AH14" s="108" t="s">
        <v>16</v>
      </c>
      <c r="AI14" s="109" t="s">
        <v>85</v>
      </c>
      <c r="AJ14" s="109" t="s">
        <v>56</v>
      </c>
      <c r="AK14" s="109" t="s">
        <v>89</v>
      </c>
      <c r="AL14" s="109" t="s">
        <v>87</v>
      </c>
      <c r="AM14" s="109" t="s">
        <v>88</v>
      </c>
      <c r="AN14" s="109" t="s">
        <v>46</v>
      </c>
      <c r="AO14" s="109" t="s">
        <v>90</v>
      </c>
      <c r="AP14" s="122" t="s">
        <v>91</v>
      </c>
      <c r="AQ14" s="387" t="s">
        <v>85</v>
      </c>
      <c r="AR14" s="78" t="s">
        <v>56</v>
      </c>
      <c r="AS14" s="78" t="s">
        <v>89</v>
      </c>
      <c r="AT14" s="78" t="s">
        <v>96</v>
      </c>
      <c r="AU14" s="78" t="s">
        <v>97</v>
      </c>
      <c r="AV14" s="78" t="s">
        <v>141</v>
      </c>
      <c r="AW14" s="1001"/>
      <c r="BD14" s="998"/>
      <c r="BE14" s="999" t="s">
        <v>230</v>
      </c>
      <c r="BF14" s="999"/>
      <c r="BG14" s="213">
        <v>20</v>
      </c>
    </row>
    <row r="15" spans="2:60" ht="21.95" customHeight="1" thickBot="1" x14ac:dyDescent="0.2">
      <c r="B15" s="101">
        <v>1</v>
      </c>
      <c r="C15" s="84">
        <f t="shared" ref="C15:C44" si="0">IF($E$4="",0,IF($H15="","",$E$9+$C$13))</f>
        <v>1000</v>
      </c>
      <c r="D15" s="453" t="str">
        <f t="shared" ref="D15:D44" si="1">IF($E$4="","",IF($K15&gt;=88000,88,""))</f>
        <v/>
      </c>
      <c r="E15" s="468">
        <f>IF($E$4="","",IF(AND($I15&gt;=20,$D15=88,'4-1.参照シートー２'!$R15&lt;=104000),($P15+$V15)*$G$12,0))</f>
        <v>0</v>
      </c>
      <c r="F15" s="502">
        <f>IF('4-1.参照シートー２'!$G15="","",'4-1.参照シートー２'!$G15)</f>
        <v>0</v>
      </c>
      <c r="G15" s="523">
        <f>IF($E$4="","",IF(AND($I15&gt;=20,$D15=88,$R15&gt;104000),('4-1.参照シートー２'!$R15+$V15)*$G$12,0))</f>
        <v>0</v>
      </c>
      <c r="H15" s="524">
        <v>0</v>
      </c>
      <c r="I15" s="525">
        <f>IF($E$4="","",$E$7*$E$8)</f>
        <v>16</v>
      </c>
      <c r="J15" s="385">
        <f t="shared" ref="J15:J44" si="2">IF($E$7="","",IF($I15="","",$I15*365/7))</f>
        <v>834.28571428571433</v>
      </c>
      <c r="K15" s="383">
        <f>IF($E$4="","",IF($J15="",0,$C15*$J15/12))</f>
        <v>69523.809523809527</v>
      </c>
      <c r="L15" s="506">
        <f>IF($E$4="","",$K15+$E15+$F15)</f>
        <v>69523.809523809527</v>
      </c>
      <c r="M15" s="457">
        <f>IF($E$4="",0,IF($L15=0,0,$L15+$J$6))</f>
        <v>71523.809523809527</v>
      </c>
      <c r="N15" s="98">
        <f>IF($E$4="",0,IF($M15=0,0,$M15*12+$M$6))</f>
        <v>858285.71428571432</v>
      </c>
      <c r="O15" s="513">
        <f>IF($E$4="",0,IF($K15=0,0,$K15+$K$6))</f>
        <v>74023.809523809527</v>
      </c>
      <c r="P15" s="514">
        <f>IF($E$4="",0,IF($O15=0,0,VLOOKUP($O15,'3-1.標準報酬月額・保険料表'!$N$8:$O$57,2,TRUE)))</f>
        <v>78000</v>
      </c>
      <c r="Q15" s="515">
        <f t="shared" ref="Q15:Q44" si="3">IF($E$4="",0,IF($L15=0,0,$L15+$K$6-$E15))</f>
        <v>74023.809523809527</v>
      </c>
      <c r="R15" s="516">
        <f>IF($E$4="",0,IF($Q15=0,0,VLOOKUP($Q15,'3-1.標準報酬月額・保険料表'!$N$8:$O$57,2,TRUE)))</f>
        <v>78000</v>
      </c>
      <c r="S15" s="381">
        <f>IF($E$4="",0,IF($K15=0,0,$K15+$K$6+$G15))</f>
        <v>74023.809523809527</v>
      </c>
      <c r="T15" s="474">
        <f>IF($E$4="",0,IF($S15=0,0,VLOOKUP($S15,'3-1.標準報酬月額・保険料表'!$N$8:$O$57,2,TRUE)))</f>
        <v>78000</v>
      </c>
      <c r="U15" s="472">
        <f t="shared" ref="U15:U44" si="4">IF($E$4="",0,ROUNDDOWN($M$6,-3))</f>
        <v>0</v>
      </c>
      <c r="V15" s="461">
        <f t="shared" ref="V15:V44" si="5">IF($E$4="",0,ROUND($U15/12,0))</f>
        <v>0</v>
      </c>
      <c r="W15" s="187">
        <f t="shared" ref="W15:W44" si="6">IF($E$4="","",IF($K15="",0,$K15+$L$6))</f>
        <v>69523.809523809527</v>
      </c>
      <c r="X15" s="61">
        <f>IF($E$4="",0,IF($I15&lt;20,0,IF($X$13="",0,IF($X$13=2,0,IF($W15&lt;$Y$13,0,IF($T15&lt;=620000,VLOOKUP($T15,'3-1.標準報酬月額・保険料表'!$D$8:$L$42,9,FALSE),'3-1.標準報酬月額・保険料表'!$L$42)+ROUNDDOWN($V15*$AD$7,0))))))</f>
        <v>0</v>
      </c>
      <c r="Y15" s="50">
        <f>IF($E$4="",0,IF($I15&lt;20,0,IF($U$9="",0,IF($X$13=2,0,IF($E$10&gt;=$Z$13,0,IF($W15&lt;$Y$13,0,VLOOKUP($T15,'3-1.標準報酬月額・保険料表'!$D$8:$J$57,6,FALSE)+ROUNDDOWN($V15*$AA$7,0)))))))</f>
        <v>0</v>
      </c>
      <c r="Z15" s="50">
        <f>IF($E$4="",0,IF($I15&lt;20,0,IF($X$13="",0,IF($X$13=2,0,IF($E$10&lt;$Z$13,0,IF($W15&lt;$Y$13,0,VLOOKUP($T15,'3-1.標準報酬月額・保険料表'!$D$8:$J$57,7,FALSE)+ROUNDDOWN($V15*$AB$7,0)))))))</f>
        <v>0</v>
      </c>
      <c r="AA15" s="66">
        <f>SUM($X15:$Z15)</f>
        <v>0</v>
      </c>
      <c r="AB15" s="71">
        <f>IF($E$4="",0,IF($AB$13="",0,IF($AB$13=1,0,IF($I15&lt;$AD$13,0,IF($N15&lt;$AC$13,0,IF($T15&lt;=620000,VLOOKUP($T15,'3-1.標準報酬月額・保険料表'!$D$8:$L$42,9,FALSE),'3-1.標準報酬月額・保険料表'!$L$42)+ROUNDDOWN($V15*$AD$7,0))))))</f>
        <v>0</v>
      </c>
      <c r="AC15" s="72">
        <f>IF($E$4="",0,IF($AB$13="",0,IF($AB$13=1,0,IF($I15&lt;$AD$13,0,IF($N15&lt;$AC$13,0,IF($E$10&gt;=$AE$13,0,VLOOKUP($T15,'3-1.標準報酬月額・保険料表'!$D$8:$J$57,6,FALSE)+ROUNDDOWN($V15*$AA$7,0)))))))</f>
        <v>0</v>
      </c>
      <c r="AD15" s="72">
        <f>IF($E$4="",0,IF($AB$13="",0,IF($AB$13=1,0,IF($I15&lt;$AD$13,0,IF($N15&lt;$AC$13,0,IF($E$10&lt;$AE$13,0,VLOOKUP($T15,'3-1.標準報酬月額・保険料表'!$D$8:$J$57,7,FALSE)+ROUNDDOWN($V15*$AB$7,0)))))))</f>
        <v>0</v>
      </c>
      <c r="AE15" s="73">
        <f>SUM($AB15:$AD15)</f>
        <v>0</v>
      </c>
      <c r="AF15" s="63">
        <f t="shared" ref="AF15:AF44" si="7">IF($E$4="",0,IF($I15&lt;$AF$11,0,$N15*$AF$13))</f>
        <v>0</v>
      </c>
      <c r="AG15" s="68">
        <f>IF($E$4="",0,($AA15+$AE15)*12)+$AF15</f>
        <v>0</v>
      </c>
      <c r="AH15" s="152">
        <f>IF($E$4="","",VLOOKUP($N15,'3-2.所得算出参照表'!K$5:L$10,2,TRUE))</f>
        <v>1625000</v>
      </c>
      <c r="AI15" s="153">
        <f>IF($AH15="",0,IF($AH15='3-2.所得算出参照表'!$B$5,'3-2.所得算出参照表'!$E$5,IF('4-1.手当等支給メニュー'!$AH15='3-2.所得算出参照表'!$B$6,'4-1.手当等支給メニュー'!$N15*'3-2.所得算出参照表'!$E$6+'3-2.所得算出参照表'!$G$6,IF('4-1.手当等支給メニュー'!$AH15='3-2.所得算出参照表'!$B$7,'4-1.手当等支給メニュー'!$N15*'3-2.所得算出参照表'!$E$7+'3-2.所得算出参照表'!$G$7,IF('4-1.手当等支給メニュー'!$AH15='3-2.所得算出参照表'!$B$8,'4-1.手当等支給メニュー'!$N15*'3-2.所得算出参照表'!$E$8+'3-2.所得算出参照表'!$G$8,IF('4-1.手当等支給メニュー'!$AH15='3-2.所得算出参照表'!$B$9,'4-1.手当等支給メニュー'!$N15*'3-2.所得算出参照表'!$E$9+'3-2.所得算出参照表'!$G$9,IF($AH15='3-2.所得算出参照表'!$B$10,'3-2.所得算出参照表'!$G$10)))))))</f>
        <v>550000</v>
      </c>
      <c r="AJ15" s="115">
        <f t="shared" ref="AJ15:AJ44" si="8">IF($E$4="","",$AJ$13)</f>
        <v>480000</v>
      </c>
      <c r="AK15" s="110">
        <f t="shared" ref="AK15:AK44" si="9">IF($AH15="",0,IF(ROUNDDOWN($N15-$AG15-$AI15-$AJ15,-3)&lt;=0,0,ROUNDDOWN($N15-$AG15-$AI15-$AJ15,-3)))</f>
        <v>0</v>
      </c>
      <c r="AL15" s="154">
        <f>VLOOKUP($AK15,'3-2.所得算出参照表'!$N$4:$O$11,2,TRUE)</f>
        <v>0</v>
      </c>
      <c r="AM15" s="110">
        <f>VLOOKUP($AK15,'3-2.所得算出参照表'!$P$4:$Q$11,2,TRUE)</f>
        <v>0</v>
      </c>
      <c r="AN15" s="110">
        <f>$AK15*AL15-$AM15</f>
        <v>0</v>
      </c>
      <c r="AO15" s="110">
        <f>$AN15*'3-2.所得算出参照表'!$D$14</f>
        <v>0</v>
      </c>
      <c r="AP15" s="123">
        <f>ROUNDDOWN($AN15+$AO15,-2)</f>
        <v>0</v>
      </c>
      <c r="AQ15" s="132">
        <f>IF($AH15="",0,IF($AH15='3-2.所得算出参照表'!$B$5,'3-2.所得算出参照表'!$E$5,IF('4-1.手当等支給メニュー'!$AH15='3-2.所得算出参照表'!$B$6,'4-1.手当等支給メニュー'!$N15*'3-2.所得算出参照表'!$E$6+'3-2.所得算出参照表'!$G$6,IF('4-1.手当等支給メニュー'!$AH15='3-2.所得算出参照表'!$B$7,'4-1.手当等支給メニュー'!$N15*'3-2.所得算出参照表'!$E$7+'3-2.所得算出参照表'!$G$7,IF('4-1.手当等支給メニュー'!$AH15='3-2.所得算出参照表'!$B$8,'4-1.手当等支給メニュー'!$N15*'3-2.所得算出参照表'!$E$8+'3-2.所得算出参照表'!$G$8,IF('4-1.手当等支給メニュー'!$AH15='3-2.所得算出参照表'!$B$9,'4-1.手当等支給メニュー'!$N15*'3-2.所得算出参照表'!$E$9+'3-2.所得算出参照表'!$G$9,IF($AH15='3-2.所得算出参照表'!$B$10,'3-2.所得算出参照表'!$G$10)))))))</f>
        <v>550000</v>
      </c>
      <c r="AR15" s="72">
        <f t="shared" ref="AR15:AR44" si="10">IF($E$4="","",$AR$13)</f>
        <v>430000</v>
      </c>
      <c r="AS15" s="120">
        <f t="shared" ref="AS15:AS44" si="11">IF($E$4="",0,IF(ROUNDDOWN($N15-$AG15-$AQ15-$AR15,-3)&lt;=0,0,ROUNDDOWN($N15-$AG15-$AQ15-$AR15,-3)))</f>
        <v>0</v>
      </c>
      <c r="AT15" s="120">
        <f t="shared" ref="AT15:AT44" si="12">IF($E$4="",0,IF($N15&lt;$AS$7,0,$AT$13))</f>
        <v>0</v>
      </c>
      <c r="AU15" s="121">
        <f t="shared" ref="AU15:AU44" si="13">IF($E$4="",0,IF($N15&lt;$AT$7,0,$AU$13))</f>
        <v>0</v>
      </c>
      <c r="AV15" s="128">
        <f>IF($AS15*$AU$13=0,0,$AS15*$AU$13-IF($AS15&lt;=$AV$13,($AJ15-$AR15)*0.05,IF($AS15&gt;$AV$13,IF($AS15&gt;$AV$13,($AJ15-$AR15)-($AS15-$AV$13)*0.05)))+$AT15)</f>
        <v>0</v>
      </c>
      <c r="AW15" s="144">
        <f t="shared" ref="AW15:AW44" si="14">$N15-$AG15-$AP15-$AV15</f>
        <v>858285.71428571432</v>
      </c>
      <c r="BD15" s="224" t="s">
        <v>234</v>
      </c>
      <c r="BE15" s="997" t="s">
        <v>235</v>
      </c>
      <c r="BF15" s="997"/>
      <c r="BG15" s="215">
        <v>20</v>
      </c>
    </row>
    <row r="16" spans="2:60" ht="21.95" customHeight="1" x14ac:dyDescent="0.15">
      <c r="B16" s="101">
        <v>2</v>
      </c>
      <c r="C16" s="103">
        <f t="shared" si="0"/>
        <v>1000</v>
      </c>
      <c r="D16" s="466" t="str">
        <f t="shared" si="1"/>
        <v/>
      </c>
      <c r="E16" s="468">
        <f>IF($E$4="","",IF(AND($I16&gt;=20,$D16=88,'4-1.参照シートー２'!$R16&lt;=104000),($P16+$V16)*$G$12,0))</f>
        <v>0</v>
      </c>
      <c r="F16" s="502">
        <f>IF('4-1.参照シートー２'!$G16="","",'4-1.参照シートー２'!$G16)</f>
        <v>0</v>
      </c>
      <c r="G16" s="468">
        <f>IF($E$4="","",IF(AND($I16&gt;=20,$D16=88,$R16&gt;104000),('4-1.参照シートー２'!$R16+$V16)*$G$12,0))</f>
        <v>0</v>
      </c>
      <c r="H16" s="446">
        <f>IF($I15&gt;=39,"",$H15+1)</f>
        <v>1</v>
      </c>
      <c r="I16" s="380">
        <f>IF($H16="","",IF($I$15+$H16&gt;39,"",$I$15+$H16))</f>
        <v>17</v>
      </c>
      <c r="J16" s="198">
        <f t="shared" si="2"/>
        <v>886.42857142857144</v>
      </c>
      <c r="K16" s="383">
        <f t="shared" ref="K16:K44" si="15">IF($E$4="","",IF($J16="",0,$C16*$J16/12))</f>
        <v>73869.047619047618</v>
      </c>
      <c r="L16" s="198">
        <f t="shared" ref="L16:L44" si="16">IF($E$4="","",$K16+$E16+$F16)</f>
        <v>73869.047619047618</v>
      </c>
      <c r="M16" s="458">
        <f t="shared" ref="M16:M44" si="17">IF($E$4="",0,IF($L16=0,0,$L16+$J$6))</f>
        <v>75869.047619047618</v>
      </c>
      <c r="N16" s="98">
        <f t="shared" ref="N16:N44" si="18">IF($E$4="",0,IF($M16=0,0,$M16*12+$M$6))</f>
        <v>910428.57142857136</v>
      </c>
      <c r="O16" s="517">
        <f t="shared" ref="O16:O44" si="19">IF($E$4="",0,IF($K16=0,0,$K16+$K$6))</f>
        <v>78369.047619047618</v>
      </c>
      <c r="P16" s="514">
        <f>IF($E$4="",0,IF($O16=0,0,VLOOKUP($O16,'3-1.標準報酬月額・保険料表'!$N$8:$O$57,2,TRUE)))</f>
        <v>78000</v>
      </c>
      <c r="Q16" s="515">
        <f t="shared" si="3"/>
        <v>78369.047619047618</v>
      </c>
      <c r="R16" s="518">
        <f>IF($E$4="",0,IF($Q16=0,0,VLOOKUP($Q16,'3-1.標準報酬月額・保険料表'!$N$8:$O$57,2,TRUE)))</f>
        <v>78000</v>
      </c>
      <c r="S16" s="381">
        <f t="shared" ref="S16:S44" si="20">IF($E$4="",0,IF($K16=0,0,$K16+$K$6+$G16))</f>
        <v>78369.047619047618</v>
      </c>
      <c r="T16" s="474">
        <f>IF($E$4="",0,IF($S16=0,0,VLOOKUP($S16,'3-1.標準報酬月額・保険料表'!$N$8:$O$57,2,TRUE)))</f>
        <v>78000</v>
      </c>
      <c r="U16" s="473">
        <f t="shared" si="4"/>
        <v>0</v>
      </c>
      <c r="V16" s="461">
        <f t="shared" si="5"/>
        <v>0</v>
      </c>
      <c r="W16" s="187">
        <f t="shared" si="6"/>
        <v>73869.047619047618</v>
      </c>
      <c r="X16" s="61">
        <f>IF($E$4="",0,IF($I16&lt;20,0,IF($X$13="",0,IF($X$13=2,0,IF($W16&lt;$Y$13,0,IF($T16&lt;=620000,VLOOKUP($T16,'3-1.標準報酬月額・保険料表'!$D$8:$L$42,9,FALSE),'3-1.標準報酬月額・保険料表'!$L$42)+ROUNDDOWN($V16*$AD$7,0))))))</f>
        <v>0</v>
      </c>
      <c r="Y16" s="50">
        <f>IF($E$4="",0,IF($I16&lt;20,0,IF($U$9="",0,IF($X$13=2,0,IF($E$10&gt;=$Z$13,0,IF($W16&lt;$Y$13,0,VLOOKUP($T16,'3-1.標準報酬月額・保険料表'!$D$8:$J$57,6,FALSE)+ROUNDDOWN($V16*$AA$7,0)))))))</f>
        <v>0</v>
      </c>
      <c r="Z16" s="50">
        <f>IF($E$4="",0,IF($I16&lt;20,0,IF($X$13="",0,IF($X$13=2,0,IF($E$10&lt;$Z$13,0,IF($W16&lt;$Y$13,0,VLOOKUP($T16,'3-1.標準報酬月額・保険料表'!$D$8:$J$57,7,FALSE)+ROUNDDOWN($V16*$AB$7,0)))))))</f>
        <v>0</v>
      </c>
      <c r="AA16" s="66">
        <f t="shared" ref="AA16:AA44" si="21">SUM($X16:$Z16)</f>
        <v>0</v>
      </c>
      <c r="AB16" s="71">
        <f>IF($E$4="",0,IF($AB$13="",0,IF($AB$13=1,0,IF($I16&lt;$AD$13,0,IF($N16&lt;$AC$13,0,IF($T16&lt;=620000,VLOOKUP($T16,'3-1.標準報酬月額・保険料表'!$D$8:$L$42,9,FALSE),'3-1.標準報酬月額・保険料表'!$L$42)+ROUNDDOWN($V16*$AD$7,0))))))</f>
        <v>0</v>
      </c>
      <c r="AC16" s="72">
        <f>IF($E$4="",0,IF($AB$13="",0,IF($AB$13=1,0,IF($I16&lt;$AD$13,0,IF($N16&lt;$AC$13,0,IF($E$10&gt;=$AE$13,0,VLOOKUP($T16,'3-1.標準報酬月額・保険料表'!$D$8:$J$57,6,FALSE)+ROUNDDOWN($V16*$AA$7,0)))))))</f>
        <v>0</v>
      </c>
      <c r="AD16" s="72">
        <f>IF($E$4="",0,IF($AB$13="",0,IF($AB$13=1,0,IF($I16&lt;$AD$13,0,IF($N16&lt;$AC$13,0,IF($E$10&lt;$AE$13,0,VLOOKUP($T16,'3-1.標準報酬月額・保険料表'!$D$8:$J$57,7,FALSE)+ROUNDDOWN($V16*$AB$7,0)))))))</f>
        <v>0</v>
      </c>
      <c r="AE16" s="73">
        <f t="shared" ref="AE16:AE44" si="22">SUM($AB16:$AD16)</f>
        <v>0</v>
      </c>
      <c r="AF16" s="63">
        <f t="shared" si="7"/>
        <v>0</v>
      </c>
      <c r="AG16" s="68">
        <f t="shared" ref="AG16:AG44" si="23">IF($E$4="",0,($AA16+$AE16)*12)+$AF16</f>
        <v>0</v>
      </c>
      <c r="AH16" s="152">
        <f>IF($E$4="","",VLOOKUP($N16,'3-2.所得算出参照表'!K$5:L$10,2,TRUE))</f>
        <v>1625000</v>
      </c>
      <c r="AI16" s="153">
        <f>IF($AH16="",0,IF($AH16='3-2.所得算出参照表'!$B$5,'3-2.所得算出参照表'!$E$5,IF('4-1.手当等支給メニュー'!$AH16='3-2.所得算出参照表'!$B$6,'4-1.手当等支給メニュー'!$N16*'3-2.所得算出参照表'!$E$6+'3-2.所得算出参照表'!$G$6,IF('4-1.手当等支給メニュー'!$AH16='3-2.所得算出参照表'!$B$7,'4-1.手当等支給メニュー'!$N16*'3-2.所得算出参照表'!$E$7+'3-2.所得算出参照表'!$G$7,IF('4-1.手当等支給メニュー'!$AH16='3-2.所得算出参照表'!$B$8,'4-1.手当等支給メニュー'!$N16*'3-2.所得算出参照表'!$E$8+'3-2.所得算出参照表'!$G$8,IF('4-1.手当等支給メニュー'!$AH16='3-2.所得算出参照表'!$B$9,'4-1.手当等支給メニュー'!$N16*'3-2.所得算出参照表'!$E$9+'3-2.所得算出参照表'!$G$9,IF($AH16='3-2.所得算出参照表'!$B$10,'3-2.所得算出参照表'!$G$10)))))))</f>
        <v>550000</v>
      </c>
      <c r="AJ16" s="115">
        <f t="shared" si="8"/>
        <v>480000</v>
      </c>
      <c r="AK16" s="110">
        <f t="shared" si="9"/>
        <v>0</v>
      </c>
      <c r="AL16" s="155">
        <f>VLOOKUP($AK16,'3-2.所得算出参照表'!$N$4:$O$11,2,TRUE)</f>
        <v>0</v>
      </c>
      <c r="AM16" s="110">
        <f>VLOOKUP($AK16,'3-2.所得算出参照表'!$P$4:$Q$11,2,TRUE)</f>
        <v>0</v>
      </c>
      <c r="AN16" s="110">
        <f t="shared" ref="AN16:AN44" si="24">$AK16*AL16-$AM16</f>
        <v>0</v>
      </c>
      <c r="AO16" s="110">
        <f>$AN16*'3-2.所得算出参照表'!$D$14</f>
        <v>0</v>
      </c>
      <c r="AP16" s="124">
        <f t="shared" ref="AP16:AP44" si="25">ROUNDDOWN($AN16+$AO16,-2)</f>
        <v>0</v>
      </c>
      <c r="AQ16" s="132">
        <f>IF($AH16="",0,IF($AH16='3-2.所得算出参照表'!$B$5,'3-2.所得算出参照表'!$E$5,IF('4-1.手当等支給メニュー'!$AH16='3-2.所得算出参照表'!$B$6,'4-1.手当等支給メニュー'!$N16*'3-2.所得算出参照表'!$E$6+'3-2.所得算出参照表'!$G$6,IF('4-1.手当等支給メニュー'!$AH16='3-2.所得算出参照表'!$B$7,'4-1.手当等支給メニュー'!$N16*'3-2.所得算出参照表'!$E$7+'3-2.所得算出参照表'!$G$7,IF('4-1.手当等支給メニュー'!$AH16='3-2.所得算出参照表'!$B$8,'4-1.手当等支給メニュー'!$N16*'3-2.所得算出参照表'!$E$8+'3-2.所得算出参照表'!$G$8,IF('4-1.手当等支給メニュー'!$AH16='3-2.所得算出参照表'!$B$9,'4-1.手当等支給メニュー'!$N16*'3-2.所得算出参照表'!$E$9+'3-2.所得算出参照表'!$G$9,IF($AH16='3-2.所得算出参照表'!$B$10,'3-2.所得算出参照表'!$G$10)))))))</f>
        <v>550000</v>
      </c>
      <c r="AR16" s="72">
        <f t="shared" si="10"/>
        <v>430000</v>
      </c>
      <c r="AS16" s="120">
        <f t="shared" si="11"/>
        <v>0</v>
      </c>
      <c r="AT16" s="120">
        <f t="shared" si="12"/>
        <v>0</v>
      </c>
      <c r="AU16" s="121">
        <f t="shared" si="13"/>
        <v>0</v>
      </c>
      <c r="AV16" s="128">
        <f t="shared" ref="AV16:AV44" si="26">IF($AS16*$AU$13=0,0,$AS16*$AU$13-IF($AS16&lt;=$AV$13,($AJ16-$AR16)*0.05,IF($AS16&gt;$AV$13,IF($AS16&gt;$AV$13,($AJ16-$AR16)-($AS16-$AV$13)*0.05)))+$AT16)</f>
        <v>0</v>
      </c>
      <c r="AW16" s="145">
        <f t="shared" si="14"/>
        <v>910428.57142857136</v>
      </c>
      <c r="BD16" s="224" t="s">
        <v>268</v>
      </c>
      <c r="BE16" s="997" t="s">
        <v>269</v>
      </c>
      <c r="BF16" s="997"/>
      <c r="BG16" s="215">
        <v>40</v>
      </c>
    </row>
    <row r="17" spans="2:49" ht="21.95" customHeight="1" x14ac:dyDescent="0.15">
      <c r="B17" s="101">
        <v>3</v>
      </c>
      <c r="C17" s="103">
        <f t="shared" si="0"/>
        <v>1000</v>
      </c>
      <c r="D17" s="454" t="str">
        <f t="shared" si="1"/>
        <v/>
      </c>
      <c r="E17" s="468">
        <f>IF($E$4="","",IF(AND($I17&gt;=20,$D17=88,'4-1.参照シートー２'!$R17&lt;=104000),($P17+$V17)*$G$12,0))</f>
        <v>0</v>
      </c>
      <c r="F17" s="502">
        <f>IF('4-1.参照シートー２'!$G17="","",'4-1.参照シートー２'!$G17)</f>
        <v>0</v>
      </c>
      <c r="G17" s="468">
        <f>IF($E$4="","",IF(AND($I17&gt;=20,$D17=88,$R17&gt;104000),('4-1.参照シートー２'!$R17+$V17)*$G$12,0))</f>
        <v>0</v>
      </c>
      <c r="H17" s="447">
        <f t="shared" ref="H17:H44" si="27">IF($I16&gt;=39,"",$H16+1)</f>
        <v>2</v>
      </c>
      <c r="I17" s="85">
        <f t="shared" ref="I17:I44" si="28">IF($H17="","",IF($I$15+$H17&gt;39,"",$I$15+$H17))</f>
        <v>18</v>
      </c>
      <c r="J17" s="198">
        <f t="shared" si="2"/>
        <v>938.57142857142856</v>
      </c>
      <c r="K17" s="383">
        <f t="shared" si="15"/>
        <v>78214.28571428571</v>
      </c>
      <c r="L17" s="198">
        <f t="shared" si="16"/>
        <v>78214.28571428571</v>
      </c>
      <c r="M17" s="458">
        <f t="shared" si="17"/>
        <v>80214.28571428571</v>
      </c>
      <c r="N17" s="98">
        <f t="shared" si="18"/>
        <v>962571.42857142852</v>
      </c>
      <c r="O17" s="517">
        <f t="shared" si="19"/>
        <v>82714.28571428571</v>
      </c>
      <c r="P17" s="514">
        <f>IF($E$4="",0,IF($O17=0,0,VLOOKUP($O17,'3-1.標準報酬月額・保険料表'!$N$8:$O$57,2,TRUE)))</f>
        <v>78000</v>
      </c>
      <c r="Q17" s="515">
        <f t="shared" si="3"/>
        <v>82714.28571428571</v>
      </c>
      <c r="R17" s="518">
        <f>IF($E$4="",0,IF($Q17=0,0,VLOOKUP($Q17,'3-1.標準報酬月額・保険料表'!$N$8:$O$57,2,TRUE)))</f>
        <v>78000</v>
      </c>
      <c r="S17" s="381">
        <f t="shared" si="20"/>
        <v>82714.28571428571</v>
      </c>
      <c r="T17" s="474">
        <f>IF($E$4="",0,IF($S17=0,0,VLOOKUP($S17,'3-1.標準報酬月額・保険料表'!$N$8:$O$57,2,TRUE)))</f>
        <v>78000</v>
      </c>
      <c r="U17" s="473">
        <f t="shared" si="4"/>
        <v>0</v>
      </c>
      <c r="V17" s="461">
        <f t="shared" si="5"/>
        <v>0</v>
      </c>
      <c r="W17" s="187">
        <f t="shared" si="6"/>
        <v>78214.28571428571</v>
      </c>
      <c r="X17" s="61">
        <f>IF($E$4="",0,IF($I17&lt;20,0,IF($X$13="",0,IF($X$13=2,0,IF($W17&lt;$Y$13,0,IF($T17&lt;=620000,VLOOKUP($T17,'3-1.標準報酬月額・保険料表'!$D$8:$L$42,9,FALSE),'3-1.標準報酬月額・保険料表'!$L$42)+ROUNDDOWN($V17*$AD$7,0))))))</f>
        <v>0</v>
      </c>
      <c r="Y17" s="50">
        <f>IF($E$4="",0,IF($I17&lt;20,0,IF($U$9="",0,IF($X$13=2,0,IF($E$10&gt;=$Z$13,0,IF($W17&lt;$Y$13,0,VLOOKUP($T17,'3-1.標準報酬月額・保険料表'!$D$8:$J$57,6,FALSE)+ROUNDDOWN($V17*$AA$7,0)))))))</f>
        <v>0</v>
      </c>
      <c r="Z17" s="50">
        <f>IF($E$4="",0,IF($I17&lt;20,0,IF($X$13="",0,IF($X$13=2,0,IF($E$10&lt;$Z$13,0,IF($W17&lt;$Y$13,0,VLOOKUP($T17,'3-1.標準報酬月額・保険料表'!$D$8:$J$57,7,FALSE)+ROUNDDOWN($V17*$AB$7,0)))))))</f>
        <v>0</v>
      </c>
      <c r="AA17" s="66">
        <f t="shared" si="21"/>
        <v>0</v>
      </c>
      <c r="AB17" s="71">
        <f>IF($E$4="",0,IF($AB$13="",0,IF($AB$13=1,0,IF($I17&lt;$AD$13,0,IF($N17&lt;$AC$13,0,IF($T17&lt;=620000,VLOOKUP($T17,'3-1.標準報酬月額・保険料表'!$D$8:$L$42,9,FALSE),'3-1.標準報酬月額・保険料表'!$L$42)+ROUNDDOWN($V17*$AD$7,0))))))</f>
        <v>0</v>
      </c>
      <c r="AC17" s="72">
        <f>IF($E$4="",0,IF($AB$13="",0,IF($AB$13=1,0,IF($I17&lt;$AD$13,0,IF($N17&lt;$AC$13,0,IF($E$10&gt;=$AE$13,0,VLOOKUP($T17,'3-1.標準報酬月額・保険料表'!$D$8:$J$57,6,FALSE)+ROUNDDOWN($V17*$AA$7,0)))))))</f>
        <v>0</v>
      </c>
      <c r="AD17" s="72">
        <f>IF($E$4="",0,IF($AB$13="",0,IF($AB$13=1,0,IF($I17&lt;$AD$13,0,IF($N17&lt;$AC$13,0,IF($E$10&lt;$AE$13,0,VLOOKUP($T17,'3-1.標準報酬月額・保険料表'!$D$8:$J$57,7,FALSE)+ROUNDDOWN($V17*$AB$7,0)))))))</f>
        <v>0</v>
      </c>
      <c r="AE17" s="73">
        <f t="shared" si="22"/>
        <v>0</v>
      </c>
      <c r="AF17" s="63">
        <f t="shared" si="7"/>
        <v>0</v>
      </c>
      <c r="AG17" s="68">
        <f t="shared" si="23"/>
        <v>0</v>
      </c>
      <c r="AH17" s="152">
        <f>IF($E$4="","",VLOOKUP($N17,'3-2.所得算出参照表'!K$5:L$10,2,TRUE))</f>
        <v>1625000</v>
      </c>
      <c r="AI17" s="153">
        <f>IF($AH17="",0,IF($AH17='3-2.所得算出参照表'!$B$5,'3-2.所得算出参照表'!$E$5,IF('4-1.手当等支給メニュー'!$AH17='3-2.所得算出参照表'!$B$6,'4-1.手当等支給メニュー'!$N17*'3-2.所得算出参照表'!$E$6+'3-2.所得算出参照表'!$G$6,IF('4-1.手当等支給メニュー'!$AH17='3-2.所得算出参照表'!$B$7,'4-1.手当等支給メニュー'!$N17*'3-2.所得算出参照表'!$E$7+'3-2.所得算出参照表'!$G$7,IF('4-1.手当等支給メニュー'!$AH17='3-2.所得算出参照表'!$B$8,'4-1.手当等支給メニュー'!$N17*'3-2.所得算出参照表'!$E$8+'3-2.所得算出参照表'!$G$8,IF('4-1.手当等支給メニュー'!$AH17='3-2.所得算出参照表'!$B$9,'4-1.手当等支給メニュー'!$N17*'3-2.所得算出参照表'!$E$9+'3-2.所得算出参照表'!$G$9,IF($AH17='3-2.所得算出参照表'!$B$10,'3-2.所得算出参照表'!$G$10)))))))</f>
        <v>550000</v>
      </c>
      <c r="AJ17" s="115">
        <f t="shared" si="8"/>
        <v>480000</v>
      </c>
      <c r="AK17" s="110">
        <f t="shared" si="9"/>
        <v>0</v>
      </c>
      <c r="AL17" s="155">
        <f>VLOOKUP($AK17,'3-2.所得算出参照表'!$N$4:$O$11,2,TRUE)</f>
        <v>0</v>
      </c>
      <c r="AM17" s="110">
        <f>VLOOKUP($AK17,'3-2.所得算出参照表'!$P$4:$Q$11,2,TRUE)</f>
        <v>0</v>
      </c>
      <c r="AN17" s="110">
        <f t="shared" si="24"/>
        <v>0</v>
      </c>
      <c r="AO17" s="110">
        <f>$AN17*'3-2.所得算出参照表'!$D$14</f>
        <v>0</v>
      </c>
      <c r="AP17" s="124">
        <f t="shared" si="25"/>
        <v>0</v>
      </c>
      <c r="AQ17" s="132">
        <f>IF($AH17="",0,IF($AH17='3-2.所得算出参照表'!$B$5,'3-2.所得算出参照表'!$E$5,IF('4-1.手当等支給メニュー'!$AH17='3-2.所得算出参照表'!$B$6,'4-1.手当等支給メニュー'!$N17*'3-2.所得算出参照表'!$E$6+'3-2.所得算出参照表'!$G$6,IF('4-1.手当等支給メニュー'!$AH17='3-2.所得算出参照表'!$B$7,'4-1.手当等支給メニュー'!$N17*'3-2.所得算出参照表'!$E$7+'3-2.所得算出参照表'!$G$7,IF('4-1.手当等支給メニュー'!$AH17='3-2.所得算出参照表'!$B$8,'4-1.手当等支給メニュー'!$N17*'3-2.所得算出参照表'!$E$8+'3-2.所得算出参照表'!$G$8,IF('4-1.手当等支給メニュー'!$AH17='3-2.所得算出参照表'!$B$9,'4-1.手当等支給メニュー'!$N17*'3-2.所得算出参照表'!$E$9+'3-2.所得算出参照表'!$G$9,IF($AH17='3-2.所得算出参照表'!$B$10,'3-2.所得算出参照表'!$G$10)))))))</f>
        <v>550000</v>
      </c>
      <c r="AR17" s="72">
        <f t="shared" si="10"/>
        <v>430000</v>
      </c>
      <c r="AS17" s="120">
        <f t="shared" si="11"/>
        <v>0</v>
      </c>
      <c r="AT17" s="120">
        <f t="shared" si="12"/>
        <v>0</v>
      </c>
      <c r="AU17" s="121">
        <f t="shared" si="13"/>
        <v>0</v>
      </c>
      <c r="AV17" s="128">
        <f t="shared" si="26"/>
        <v>0</v>
      </c>
      <c r="AW17" s="145">
        <f t="shared" si="14"/>
        <v>962571.42857142852</v>
      </c>
    </row>
    <row r="18" spans="2:49" ht="21.95" customHeight="1" x14ac:dyDescent="0.15">
      <c r="B18" s="101">
        <v>4</v>
      </c>
      <c r="C18" s="103">
        <f t="shared" si="0"/>
        <v>1000</v>
      </c>
      <c r="D18" s="454" t="str">
        <f t="shared" si="1"/>
        <v/>
      </c>
      <c r="E18" s="468">
        <f>IF($E$4="","",IF(AND($I18&gt;=20,$D18=88,'4-1.参照シートー２'!$R18&lt;=104000),($P18+$V18)*$G$12,0))</f>
        <v>0</v>
      </c>
      <c r="F18" s="502">
        <f>IF('4-1.参照シートー２'!$G18="","",'4-1.参照シートー２'!$G18)</f>
        <v>0</v>
      </c>
      <c r="G18" s="468">
        <f>IF($E$4="","",IF(AND($I18&gt;=20,$D18=88,$R18&gt;104000),('4-1.参照シートー２'!$R18+$V18)*$G$12,0))</f>
        <v>0</v>
      </c>
      <c r="H18" s="447">
        <f t="shared" si="27"/>
        <v>3</v>
      </c>
      <c r="I18" s="85">
        <f t="shared" si="28"/>
        <v>19</v>
      </c>
      <c r="J18" s="198">
        <f t="shared" si="2"/>
        <v>990.71428571428567</v>
      </c>
      <c r="K18" s="383">
        <f t="shared" si="15"/>
        <v>82559.523809523802</v>
      </c>
      <c r="L18" s="198">
        <f t="shared" si="16"/>
        <v>82559.523809523802</v>
      </c>
      <c r="M18" s="458">
        <f t="shared" si="17"/>
        <v>84559.523809523802</v>
      </c>
      <c r="N18" s="98">
        <f t="shared" si="18"/>
        <v>1014714.2857142857</v>
      </c>
      <c r="O18" s="517">
        <f t="shared" si="19"/>
        <v>87059.523809523802</v>
      </c>
      <c r="P18" s="514">
        <f>IF($E$4="",0,IF($O18=0,0,VLOOKUP($O18,'3-1.標準報酬月額・保険料表'!$N$8:$O$57,2,TRUE)))</f>
        <v>88000</v>
      </c>
      <c r="Q18" s="515">
        <f t="shared" si="3"/>
        <v>87059.523809523802</v>
      </c>
      <c r="R18" s="518">
        <f>IF($E$4="",0,IF($Q18=0,0,VLOOKUP($Q18,'3-1.標準報酬月額・保険料表'!$N$8:$O$57,2,TRUE)))</f>
        <v>88000</v>
      </c>
      <c r="S18" s="381">
        <f t="shared" si="20"/>
        <v>87059.523809523802</v>
      </c>
      <c r="T18" s="474">
        <f>IF($E$4="",0,IF($S18=0,0,VLOOKUP($S18,'3-1.標準報酬月額・保険料表'!$N$8:$O$57,2,TRUE)))</f>
        <v>88000</v>
      </c>
      <c r="U18" s="473">
        <f t="shared" si="4"/>
        <v>0</v>
      </c>
      <c r="V18" s="461">
        <f t="shared" si="5"/>
        <v>0</v>
      </c>
      <c r="W18" s="187">
        <f t="shared" si="6"/>
        <v>82559.523809523802</v>
      </c>
      <c r="X18" s="61">
        <f>IF($E$4="",0,IF($I18&lt;20,0,IF($X$13="",0,IF($X$13=2,0,IF($W18&lt;$Y$13,0,IF($T18&lt;=620000,VLOOKUP($T18,'3-1.標準報酬月額・保険料表'!$D$8:$L$42,9,FALSE),'3-1.標準報酬月額・保険料表'!$L$42)+ROUNDDOWN($V18*$AD$7,0))))))</f>
        <v>0</v>
      </c>
      <c r="Y18" s="50">
        <f>IF($E$4="",0,IF($I18&lt;20,0,IF($U$9="",0,IF($X$13=2,0,IF($E$10&gt;=$Z$13,0,IF($W18&lt;$Y$13,0,VLOOKUP($T18,'3-1.標準報酬月額・保険料表'!$D$8:$J$57,6,FALSE)+ROUNDDOWN($V18*$AA$7,0)))))))</f>
        <v>0</v>
      </c>
      <c r="Z18" s="50">
        <f>IF($E$4="",0,IF($I18&lt;20,0,IF($X$13="",0,IF($X$13=2,0,IF($E$10&lt;$Z$13,0,IF($W18&lt;$Y$13,0,VLOOKUP($T18,'3-1.標準報酬月額・保険料表'!$D$8:$J$57,7,FALSE)+ROUNDDOWN($V18*$AB$7,0)))))))</f>
        <v>0</v>
      </c>
      <c r="AA18" s="66">
        <f t="shared" si="21"/>
        <v>0</v>
      </c>
      <c r="AB18" s="71">
        <f>IF($E$4="",0,IF($AB$13="",0,IF($AB$13=1,0,IF($I18&lt;$AD$13,0,IF($N18&lt;$AC$13,0,IF($T18&lt;=620000,VLOOKUP($T18,'3-1.標準報酬月額・保険料表'!$D$8:$L$42,9,FALSE),'3-1.標準報酬月額・保険料表'!$L$42)+ROUNDDOWN($V18*$AD$7,0))))))</f>
        <v>0</v>
      </c>
      <c r="AC18" s="72">
        <f>IF($E$4="",0,IF($AB$13="",0,IF($AB$13=1,0,IF($I18&lt;$AD$13,0,IF($N18&lt;$AC$13,0,IF($E$10&gt;=$AE$13,0,VLOOKUP($T18,'3-1.標準報酬月額・保険料表'!$D$8:$J$57,6,FALSE)+ROUNDDOWN($V18*$AA$7,0)))))))</f>
        <v>0</v>
      </c>
      <c r="AD18" s="72">
        <f>IF($E$4="",0,IF($AB$13="",0,IF($AB$13=1,0,IF($I18&lt;$AD$13,0,IF($N18&lt;$AC$13,0,IF($E$10&lt;$AE$13,0,VLOOKUP($T18,'3-1.標準報酬月額・保険料表'!$D$8:$J$57,7,FALSE)+ROUNDDOWN($V18*$AB$7,0)))))))</f>
        <v>0</v>
      </c>
      <c r="AE18" s="73">
        <f t="shared" si="22"/>
        <v>0</v>
      </c>
      <c r="AF18" s="63">
        <f t="shared" si="7"/>
        <v>0</v>
      </c>
      <c r="AG18" s="68">
        <f t="shared" si="23"/>
        <v>0</v>
      </c>
      <c r="AH18" s="152">
        <f>IF($E$4="","",VLOOKUP($N18,'3-2.所得算出参照表'!K$5:L$10,2,TRUE))</f>
        <v>1625000</v>
      </c>
      <c r="AI18" s="153">
        <f>IF($AH18="",0,IF($AH18='3-2.所得算出参照表'!$B$5,'3-2.所得算出参照表'!$E$5,IF('4-1.手当等支給メニュー'!$AH18='3-2.所得算出参照表'!$B$6,'4-1.手当等支給メニュー'!$N18*'3-2.所得算出参照表'!$E$6+'3-2.所得算出参照表'!$G$6,IF('4-1.手当等支給メニュー'!$AH18='3-2.所得算出参照表'!$B$7,'4-1.手当等支給メニュー'!$N18*'3-2.所得算出参照表'!$E$7+'3-2.所得算出参照表'!$G$7,IF('4-1.手当等支給メニュー'!$AH18='3-2.所得算出参照表'!$B$8,'4-1.手当等支給メニュー'!$N18*'3-2.所得算出参照表'!$E$8+'3-2.所得算出参照表'!$G$8,IF('4-1.手当等支給メニュー'!$AH18='3-2.所得算出参照表'!$B$9,'4-1.手当等支給メニュー'!$N18*'3-2.所得算出参照表'!$E$9+'3-2.所得算出参照表'!$G$9,IF($AH18='3-2.所得算出参照表'!$B$10,'3-2.所得算出参照表'!$G$10)))))))</f>
        <v>550000</v>
      </c>
      <c r="AJ18" s="115">
        <f t="shared" si="8"/>
        <v>480000</v>
      </c>
      <c r="AK18" s="110">
        <f t="shared" si="9"/>
        <v>0</v>
      </c>
      <c r="AL18" s="155">
        <f>VLOOKUP($AK18,'3-2.所得算出参照表'!$N$4:$O$11,2,TRUE)</f>
        <v>0</v>
      </c>
      <c r="AM18" s="110">
        <f>VLOOKUP($AK18,'3-2.所得算出参照表'!$P$4:$Q$11,2,TRUE)</f>
        <v>0</v>
      </c>
      <c r="AN18" s="110">
        <f t="shared" si="24"/>
        <v>0</v>
      </c>
      <c r="AO18" s="110">
        <f>$AN18*'3-2.所得算出参照表'!$D$14</f>
        <v>0</v>
      </c>
      <c r="AP18" s="124">
        <f t="shared" si="25"/>
        <v>0</v>
      </c>
      <c r="AQ18" s="132">
        <f>IF($AH18="",0,IF($AH18='3-2.所得算出参照表'!$B$5,'3-2.所得算出参照表'!$E$5,IF('4-1.手当等支給メニュー'!$AH18='3-2.所得算出参照表'!$B$6,'4-1.手当等支給メニュー'!$N18*'3-2.所得算出参照表'!$E$6+'3-2.所得算出参照表'!$G$6,IF('4-1.手当等支給メニュー'!$AH18='3-2.所得算出参照表'!$B$7,'4-1.手当等支給メニュー'!$N18*'3-2.所得算出参照表'!$E$7+'3-2.所得算出参照表'!$G$7,IF('4-1.手当等支給メニュー'!$AH18='3-2.所得算出参照表'!$B$8,'4-1.手当等支給メニュー'!$N18*'3-2.所得算出参照表'!$E$8+'3-2.所得算出参照表'!$G$8,IF('4-1.手当等支給メニュー'!$AH18='3-2.所得算出参照表'!$B$9,'4-1.手当等支給メニュー'!$N18*'3-2.所得算出参照表'!$E$9+'3-2.所得算出参照表'!$G$9,IF($AH18='3-2.所得算出参照表'!$B$10,'3-2.所得算出参照表'!$G$10)))))))</f>
        <v>550000</v>
      </c>
      <c r="AR18" s="72">
        <f t="shared" si="10"/>
        <v>430000</v>
      </c>
      <c r="AS18" s="120">
        <f t="shared" si="11"/>
        <v>34000</v>
      </c>
      <c r="AT18" s="120">
        <f t="shared" si="12"/>
        <v>5500</v>
      </c>
      <c r="AU18" s="121">
        <f t="shared" si="13"/>
        <v>0.1</v>
      </c>
      <c r="AV18" s="128">
        <f t="shared" si="26"/>
        <v>6400</v>
      </c>
      <c r="AW18" s="145">
        <f t="shared" si="14"/>
        <v>1008314.2857142857</v>
      </c>
    </row>
    <row r="19" spans="2:49" ht="21.95" customHeight="1" x14ac:dyDescent="0.15">
      <c r="B19" s="101">
        <v>5</v>
      </c>
      <c r="C19" s="103">
        <f t="shared" si="0"/>
        <v>1000</v>
      </c>
      <c r="D19" s="454" t="str">
        <f t="shared" si="1"/>
        <v/>
      </c>
      <c r="E19" s="468">
        <f>IF($E$4="","",IF(AND($I19&gt;=20,$D19=88,'4-1.参照シートー２'!$R19&lt;=104000),($P19+$V19)*$G$12,0))</f>
        <v>0</v>
      </c>
      <c r="F19" s="502">
        <f>IF('4-1.参照シートー２'!$G19="","",'4-1.参照シートー２'!$G19)</f>
        <v>0</v>
      </c>
      <c r="G19" s="468">
        <f>IF($E$4="","",IF(AND($I19&gt;=20,$D19=88,$R19&gt;104000),('4-1.参照シートー２'!$R19+$V19)*$G$12,0))</f>
        <v>0</v>
      </c>
      <c r="H19" s="447">
        <f t="shared" si="27"/>
        <v>4</v>
      </c>
      <c r="I19" s="85">
        <f t="shared" si="28"/>
        <v>20</v>
      </c>
      <c r="J19" s="198">
        <f t="shared" si="2"/>
        <v>1042.8571428571429</v>
      </c>
      <c r="K19" s="383">
        <f t="shared" si="15"/>
        <v>86904.761904761908</v>
      </c>
      <c r="L19" s="198">
        <f t="shared" si="16"/>
        <v>86904.761904761908</v>
      </c>
      <c r="M19" s="458">
        <f t="shared" si="17"/>
        <v>88904.761904761908</v>
      </c>
      <c r="N19" s="98">
        <f t="shared" si="18"/>
        <v>1066857.142857143</v>
      </c>
      <c r="O19" s="517">
        <f t="shared" si="19"/>
        <v>91404.761904761908</v>
      </c>
      <c r="P19" s="514">
        <f>IF($E$4="",0,IF($O19=0,0,VLOOKUP($O19,'3-1.標準報酬月額・保険料表'!$N$8:$O$57,2,TRUE)))</f>
        <v>88000</v>
      </c>
      <c r="Q19" s="515">
        <f t="shared" si="3"/>
        <v>91404.761904761908</v>
      </c>
      <c r="R19" s="518">
        <f>IF($E$4="",0,IF($Q19=0,0,VLOOKUP($Q19,'3-1.標準報酬月額・保険料表'!$N$8:$O$57,2,TRUE)))</f>
        <v>88000</v>
      </c>
      <c r="S19" s="381">
        <f t="shared" si="20"/>
        <v>91404.761904761908</v>
      </c>
      <c r="T19" s="474">
        <f>IF($E$4="",0,IF($S19=0,0,VLOOKUP($S19,'3-1.標準報酬月額・保険料表'!$N$8:$O$57,2,TRUE)))</f>
        <v>88000</v>
      </c>
      <c r="U19" s="473">
        <f t="shared" si="4"/>
        <v>0</v>
      </c>
      <c r="V19" s="461">
        <f t="shared" si="5"/>
        <v>0</v>
      </c>
      <c r="W19" s="187">
        <f t="shared" si="6"/>
        <v>86904.761904761908</v>
      </c>
      <c r="X19" s="61">
        <f>IF($E$4="",0,IF($I19&lt;20,0,IF($X$13="",0,IF($X$13=2,0,IF($W19&lt;$Y$13,0,IF($T19&lt;=620000,VLOOKUP($T19,'3-1.標準報酬月額・保険料表'!$D$8:$L$42,9,FALSE),'3-1.標準報酬月額・保険料表'!$L$42)+ROUNDDOWN($V19*$AD$7,0))))))</f>
        <v>0</v>
      </c>
      <c r="Y19" s="50">
        <f>IF($E$4="",0,IF($I19&lt;20,0,IF($U$9="",0,IF($X$13=2,0,IF($E$10&gt;=$Z$13,0,IF($W19&lt;$Y$13,0,VLOOKUP($T19,'3-1.標準報酬月額・保険料表'!$D$8:$J$57,6,FALSE)+ROUNDDOWN($V19*$AA$7,0)))))))</f>
        <v>0</v>
      </c>
      <c r="Z19" s="50">
        <f>IF($E$4="",0,IF($I19&lt;20,0,IF($X$13="",0,IF($X$13=2,0,IF($E$10&lt;$Z$13,0,IF($W19&lt;$Y$13,0,VLOOKUP($T19,'3-1.標準報酬月額・保険料表'!$D$8:$J$57,7,FALSE)+ROUNDDOWN($V19*$AB$7,0)))))))</f>
        <v>0</v>
      </c>
      <c r="AA19" s="66">
        <f t="shared" si="21"/>
        <v>0</v>
      </c>
      <c r="AB19" s="71">
        <f>IF($E$4="",0,IF($AB$13="",0,IF($AB$13=1,0,IF($I19&lt;$AD$13,0,IF($N19&lt;$AC$13,0,IF($T19&lt;=620000,VLOOKUP($T19,'3-1.標準報酬月額・保険料表'!$D$8:$L$42,9,FALSE),'3-1.標準報酬月額・保険料表'!$L$42)+ROUNDDOWN($V19*$AD$7,0))))))</f>
        <v>0</v>
      </c>
      <c r="AC19" s="72">
        <f>IF($E$4="",0,IF($AB$13="",0,IF($AB$13=1,0,IF($I19&lt;$AD$13,0,IF($N19&lt;$AC$13,0,IF($E$10&gt;=$AE$13,0,VLOOKUP($T19,'3-1.標準報酬月額・保険料表'!$D$8:$J$57,6,FALSE)+ROUNDDOWN($V19*$AA$7,0)))))))</f>
        <v>0</v>
      </c>
      <c r="AD19" s="72">
        <f>IF($E$4="",0,IF($AB$13="",0,IF($AB$13=1,0,IF($I19&lt;$AD$13,0,IF($N19&lt;$AC$13,0,IF($E$10&lt;$AE$13,0,VLOOKUP($T19,'3-1.標準報酬月額・保険料表'!$D$8:$J$57,7,FALSE)+ROUNDDOWN($V19*$AB$7,0)))))))</f>
        <v>0</v>
      </c>
      <c r="AE19" s="73">
        <f t="shared" si="22"/>
        <v>0</v>
      </c>
      <c r="AF19" s="63">
        <f t="shared" si="7"/>
        <v>6401.1428571428578</v>
      </c>
      <c r="AG19" s="68">
        <f t="shared" si="23"/>
        <v>6401.1428571428578</v>
      </c>
      <c r="AH19" s="152">
        <f>IF($E$4="","",VLOOKUP($N19,'3-2.所得算出参照表'!K$5:L$10,2,TRUE))</f>
        <v>1625000</v>
      </c>
      <c r="AI19" s="153">
        <f>IF($AH19="",0,IF($AH19='3-2.所得算出参照表'!$B$5,'3-2.所得算出参照表'!$E$5,IF('4-1.手当等支給メニュー'!$AH19='3-2.所得算出参照表'!$B$6,'4-1.手当等支給メニュー'!$N19*'3-2.所得算出参照表'!$E$6+'3-2.所得算出参照表'!$G$6,IF('4-1.手当等支給メニュー'!$AH19='3-2.所得算出参照表'!$B$7,'4-1.手当等支給メニュー'!$N19*'3-2.所得算出参照表'!$E$7+'3-2.所得算出参照表'!$G$7,IF('4-1.手当等支給メニュー'!$AH19='3-2.所得算出参照表'!$B$8,'4-1.手当等支給メニュー'!$N19*'3-2.所得算出参照表'!$E$8+'3-2.所得算出参照表'!$G$8,IF('4-1.手当等支給メニュー'!$AH19='3-2.所得算出参照表'!$B$9,'4-1.手当等支給メニュー'!$N19*'3-2.所得算出参照表'!$E$9+'3-2.所得算出参照表'!$G$9,IF($AH19='3-2.所得算出参照表'!$B$10,'3-2.所得算出参照表'!$G$10)))))))</f>
        <v>550000</v>
      </c>
      <c r="AJ19" s="115">
        <f t="shared" si="8"/>
        <v>480000</v>
      </c>
      <c r="AK19" s="110">
        <f t="shared" si="9"/>
        <v>30000</v>
      </c>
      <c r="AL19" s="155">
        <f>VLOOKUP($AK19,'3-2.所得算出参照表'!$N$4:$O$11,2,TRUE)</f>
        <v>0.05</v>
      </c>
      <c r="AM19" s="110">
        <f>VLOOKUP($AK19,'3-2.所得算出参照表'!$P$4:$Q$11,2,TRUE)</f>
        <v>0</v>
      </c>
      <c r="AN19" s="110">
        <f t="shared" si="24"/>
        <v>1500</v>
      </c>
      <c r="AO19" s="110">
        <f>$AN19*'3-2.所得算出参照表'!$D$14</f>
        <v>31.500000000000004</v>
      </c>
      <c r="AP19" s="124">
        <f t="shared" si="25"/>
        <v>1500</v>
      </c>
      <c r="AQ19" s="132">
        <f>IF($AH19="",0,IF($AH19='3-2.所得算出参照表'!$B$5,'3-2.所得算出参照表'!$E$5,IF('4-1.手当等支給メニュー'!$AH19='3-2.所得算出参照表'!$B$6,'4-1.手当等支給メニュー'!$N19*'3-2.所得算出参照表'!$E$6+'3-2.所得算出参照表'!$G$6,IF('4-1.手当等支給メニュー'!$AH19='3-2.所得算出参照表'!$B$7,'4-1.手当等支給メニュー'!$N19*'3-2.所得算出参照表'!$E$7+'3-2.所得算出参照表'!$G$7,IF('4-1.手当等支給メニュー'!$AH19='3-2.所得算出参照表'!$B$8,'4-1.手当等支給メニュー'!$N19*'3-2.所得算出参照表'!$E$8+'3-2.所得算出参照表'!$G$8,IF('4-1.手当等支給メニュー'!$AH19='3-2.所得算出参照表'!$B$9,'4-1.手当等支給メニュー'!$N19*'3-2.所得算出参照表'!$E$9+'3-2.所得算出参照表'!$G$9,IF($AH19='3-2.所得算出参照表'!$B$10,'3-2.所得算出参照表'!$G$10)))))))</f>
        <v>550000</v>
      </c>
      <c r="AR19" s="72">
        <f t="shared" si="10"/>
        <v>430000</v>
      </c>
      <c r="AS19" s="120">
        <f t="shared" si="11"/>
        <v>80000</v>
      </c>
      <c r="AT19" s="120">
        <f t="shared" si="12"/>
        <v>5500</v>
      </c>
      <c r="AU19" s="121">
        <f t="shared" si="13"/>
        <v>0.1</v>
      </c>
      <c r="AV19" s="128">
        <f t="shared" si="26"/>
        <v>11000</v>
      </c>
      <c r="AW19" s="145">
        <f t="shared" si="14"/>
        <v>1047956</v>
      </c>
    </row>
    <row r="20" spans="2:49" ht="21.95" customHeight="1" x14ac:dyDescent="0.15">
      <c r="B20" s="101">
        <v>6</v>
      </c>
      <c r="C20" s="103">
        <f t="shared" si="0"/>
        <v>1000</v>
      </c>
      <c r="D20" s="454">
        <f t="shared" si="1"/>
        <v>88</v>
      </c>
      <c r="E20" s="468">
        <f>IF($E$4="","",IF(AND($I20&gt;=20,$D20=88,'4-1.参照シートー２'!$R20&lt;=104000),($P20+$V20)*$G$12,0))</f>
        <v>14700</v>
      </c>
      <c r="F20" s="502">
        <f>IF('4-1.参照シートー２'!$G20="","",'4-1.参照シートー２'!$G20)</f>
        <v>0</v>
      </c>
      <c r="G20" s="468">
        <f>IF($E$4="","",IF(AND($I20&gt;=20,$D20=88,$R20&gt;104000),('4-1.参照シートー２'!$R20+$V20)*$G$12,0))</f>
        <v>0</v>
      </c>
      <c r="H20" s="447">
        <f t="shared" si="27"/>
        <v>5</v>
      </c>
      <c r="I20" s="85">
        <f t="shared" si="28"/>
        <v>21</v>
      </c>
      <c r="J20" s="198">
        <f t="shared" si="2"/>
        <v>1095</v>
      </c>
      <c r="K20" s="383">
        <f t="shared" si="15"/>
        <v>91250</v>
      </c>
      <c r="L20" s="198">
        <f t="shared" si="16"/>
        <v>105950</v>
      </c>
      <c r="M20" s="458">
        <f t="shared" si="17"/>
        <v>107950</v>
      </c>
      <c r="N20" s="98">
        <f t="shared" si="18"/>
        <v>1295400</v>
      </c>
      <c r="O20" s="517">
        <f t="shared" si="19"/>
        <v>95750</v>
      </c>
      <c r="P20" s="514">
        <f>IF($E$4="",0,IF($O20=0,0,VLOOKUP($O20,'3-1.標準報酬月額・保険料表'!$N$8:$O$57,2,TRUE)))</f>
        <v>98000</v>
      </c>
      <c r="Q20" s="515">
        <f t="shared" si="3"/>
        <v>95750</v>
      </c>
      <c r="R20" s="518">
        <f>IF($E$4="",0,IF($Q20=0,0,VLOOKUP($Q20,'3-1.標準報酬月額・保険料表'!$N$8:$O$57,2,TRUE)))</f>
        <v>98000</v>
      </c>
      <c r="S20" s="381">
        <f t="shared" si="20"/>
        <v>95750</v>
      </c>
      <c r="T20" s="474">
        <f>IF($E$4="",0,IF($S20=0,0,VLOOKUP($S20,'3-1.標準報酬月額・保険料表'!$N$8:$O$57,2,TRUE)))</f>
        <v>98000</v>
      </c>
      <c r="U20" s="473">
        <f t="shared" si="4"/>
        <v>0</v>
      </c>
      <c r="V20" s="461">
        <f t="shared" si="5"/>
        <v>0</v>
      </c>
      <c r="W20" s="187">
        <f t="shared" si="6"/>
        <v>91250</v>
      </c>
      <c r="X20" s="61">
        <f>IF($E$4="",0,IF($I20&lt;20,0,IF($X$13="",0,IF($X$13=2,0,IF($W20&lt;$Y$13,0,IF($T20&lt;=620000,VLOOKUP($T20,'3-1.標準報酬月額・保険料表'!$D$8:$L$42,9,FALSE),'3-1.標準報酬月額・保険料表'!$L$42)+ROUNDDOWN($V20*$AD$7,0))))))</f>
        <v>8967</v>
      </c>
      <c r="Y20" s="50">
        <f>IF($E$4="",0,IF($I20&lt;20,0,IF($U$9="",0,IF($X$13=2,0,IF($E$10&gt;=$Z$13,0,IF($W20&lt;$Y$13,0,VLOOKUP($T20,'3-1.標準報酬月額・保険料表'!$D$8:$J$57,6,FALSE)+ROUNDDOWN($V20*$AA$7,0)))))))</f>
        <v>5042.1000000000004</v>
      </c>
      <c r="Z20" s="50">
        <f>IF($E$4="",0,IF($I20&lt;20,0,IF($X$13="",0,IF($X$13=2,0,IF($E$10&lt;$Z$13,0,IF($W20&lt;$Y$13,0,VLOOKUP($T20,'3-1.標準報酬月額・保険料表'!$D$8:$J$57,7,FALSE)+ROUNDDOWN($V20*$AB$7,0)))))))</f>
        <v>0</v>
      </c>
      <c r="AA20" s="66">
        <f t="shared" si="21"/>
        <v>14009.1</v>
      </c>
      <c r="AB20" s="71">
        <f>IF($E$4="",0,IF($AB$13="",0,IF($AB$13=1,0,IF($I20&lt;$AD$13,0,IF($N20&lt;$AC$13,0,IF($T20&lt;=620000,VLOOKUP($T20,'3-1.標準報酬月額・保険料表'!$D$8:$L$42,9,FALSE),'3-1.標準報酬月額・保険料表'!$L$42)+ROUNDDOWN($V20*$AD$7,0))))))</f>
        <v>0</v>
      </c>
      <c r="AC20" s="72">
        <f>IF($E$4="",0,IF($AB$13="",0,IF($AB$13=1,0,IF($I20&lt;$AD$13,0,IF($N20&lt;$AC$13,0,IF($E$10&gt;=$AE$13,0,VLOOKUP($T20,'3-1.標準報酬月額・保険料表'!$D$8:$J$57,6,FALSE)+ROUNDDOWN($V20*$AA$7,0)))))))</f>
        <v>0</v>
      </c>
      <c r="AD20" s="72">
        <f>IF($E$4="",0,IF($AB$13="",0,IF($AB$13=1,0,IF($I20&lt;$AD$13,0,IF($N20&lt;$AC$13,0,IF($E$10&lt;$AE$13,0,VLOOKUP($T20,'3-1.標準報酬月額・保険料表'!$D$8:$J$57,7,FALSE)+ROUNDDOWN($V20*$AB$7,0)))))))</f>
        <v>0</v>
      </c>
      <c r="AE20" s="73">
        <f t="shared" si="22"/>
        <v>0</v>
      </c>
      <c r="AF20" s="63">
        <f t="shared" si="7"/>
        <v>7772.4000000000005</v>
      </c>
      <c r="AG20" s="68">
        <f t="shared" si="23"/>
        <v>175881.60000000001</v>
      </c>
      <c r="AH20" s="152">
        <f>IF($E$4="","",VLOOKUP($N20,'3-2.所得算出参照表'!K$5:L$10,2,TRUE))</f>
        <v>1625000</v>
      </c>
      <c r="AI20" s="153">
        <f>IF($AH20="",0,IF($AH20='3-2.所得算出参照表'!$B$5,'3-2.所得算出参照表'!$E$5,IF('4-1.手当等支給メニュー'!$AH20='3-2.所得算出参照表'!$B$6,'4-1.手当等支給メニュー'!$N20*'3-2.所得算出参照表'!$E$6+'3-2.所得算出参照表'!$G$6,IF('4-1.手当等支給メニュー'!$AH20='3-2.所得算出参照表'!$B$7,'4-1.手当等支給メニュー'!$N20*'3-2.所得算出参照表'!$E$7+'3-2.所得算出参照表'!$G$7,IF('4-1.手当等支給メニュー'!$AH20='3-2.所得算出参照表'!$B$8,'4-1.手当等支給メニュー'!$N20*'3-2.所得算出参照表'!$E$8+'3-2.所得算出参照表'!$G$8,IF('4-1.手当等支給メニュー'!$AH20='3-2.所得算出参照表'!$B$9,'4-1.手当等支給メニュー'!$N20*'3-2.所得算出参照表'!$E$9+'3-2.所得算出参照表'!$G$9,IF($AH20='3-2.所得算出参照表'!$B$10,'3-2.所得算出参照表'!$G$10)))))))</f>
        <v>550000</v>
      </c>
      <c r="AJ20" s="115">
        <f t="shared" si="8"/>
        <v>480000</v>
      </c>
      <c r="AK20" s="110">
        <f t="shared" si="9"/>
        <v>89000</v>
      </c>
      <c r="AL20" s="155">
        <f>VLOOKUP($AK20,'3-2.所得算出参照表'!$N$4:$O$11,2,TRUE)</f>
        <v>0.05</v>
      </c>
      <c r="AM20" s="110">
        <f>VLOOKUP($AK20,'3-2.所得算出参照表'!$P$4:$Q$11,2,TRUE)</f>
        <v>0</v>
      </c>
      <c r="AN20" s="110">
        <f t="shared" si="24"/>
        <v>4450</v>
      </c>
      <c r="AO20" s="110">
        <f>$AN20*'3-2.所得算出参照表'!$D$14</f>
        <v>93.45</v>
      </c>
      <c r="AP20" s="124">
        <f t="shared" si="25"/>
        <v>4500</v>
      </c>
      <c r="AQ20" s="132">
        <f>IF($AH20="",0,IF($AH20='3-2.所得算出参照表'!$B$5,'3-2.所得算出参照表'!$E$5,IF('4-1.手当等支給メニュー'!$AH20='3-2.所得算出参照表'!$B$6,'4-1.手当等支給メニュー'!$N20*'3-2.所得算出参照表'!$E$6+'3-2.所得算出参照表'!$G$6,IF('4-1.手当等支給メニュー'!$AH20='3-2.所得算出参照表'!$B$7,'4-1.手当等支給メニュー'!$N20*'3-2.所得算出参照表'!$E$7+'3-2.所得算出参照表'!$G$7,IF('4-1.手当等支給メニュー'!$AH20='3-2.所得算出参照表'!$B$8,'4-1.手当等支給メニュー'!$N20*'3-2.所得算出参照表'!$E$8+'3-2.所得算出参照表'!$G$8,IF('4-1.手当等支給メニュー'!$AH20='3-2.所得算出参照表'!$B$9,'4-1.手当等支給メニュー'!$N20*'3-2.所得算出参照表'!$E$9+'3-2.所得算出参照表'!$G$9,IF($AH20='3-2.所得算出参照表'!$B$10,'3-2.所得算出参照表'!$G$10)))))))</f>
        <v>550000</v>
      </c>
      <c r="AR20" s="72">
        <f t="shared" si="10"/>
        <v>430000</v>
      </c>
      <c r="AS20" s="120">
        <f t="shared" si="11"/>
        <v>139000</v>
      </c>
      <c r="AT20" s="120">
        <f t="shared" si="12"/>
        <v>5500</v>
      </c>
      <c r="AU20" s="121">
        <f t="shared" si="13"/>
        <v>0.1</v>
      </c>
      <c r="AV20" s="128">
        <f t="shared" si="26"/>
        <v>16900</v>
      </c>
      <c r="AW20" s="145">
        <f t="shared" si="14"/>
        <v>1098118.3999999999</v>
      </c>
    </row>
    <row r="21" spans="2:49" ht="21.95" customHeight="1" x14ac:dyDescent="0.15">
      <c r="B21" s="101">
        <v>7</v>
      </c>
      <c r="C21" s="103">
        <f t="shared" si="0"/>
        <v>1000</v>
      </c>
      <c r="D21" s="454">
        <f t="shared" si="1"/>
        <v>88</v>
      </c>
      <c r="E21" s="468">
        <f>IF($E$4="","",IF(AND($I21&gt;=20,$D21=88,'4-1.参照シートー２'!$R21&lt;=104000),($P21+$V21)*$G$12,0))</f>
        <v>14700</v>
      </c>
      <c r="F21" s="503">
        <f>IF('4-1.参照シートー２'!$G21="","",'4-1.参照シートー２'!$G21)</f>
        <v>0</v>
      </c>
      <c r="G21" s="469">
        <f>IF($E$4="","",IF(AND($I21&gt;=20,$D21=88,$R21&gt;104000),('4-1.参照シートー２'!$R21+$V21)*$G$12,0))</f>
        <v>0</v>
      </c>
      <c r="H21" s="447">
        <f t="shared" si="27"/>
        <v>6</v>
      </c>
      <c r="I21" s="85">
        <f t="shared" si="28"/>
        <v>22</v>
      </c>
      <c r="J21" s="198">
        <f t="shared" si="2"/>
        <v>1147.1428571428571</v>
      </c>
      <c r="K21" s="383">
        <f t="shared" si="15"/>
        <v>95595.238095238092</v>
      </c>
      <c r="L21" s="198">
        <f t="shared" si="16"/>
        <v>110295.23809523809</v>
      </c>
      <c r="M21" s="458">
        <f t="shared" si="17"/>
        <v>112295.23809523809</v>
      </c>
      <c r="N21" s="98">
        <f t="shared" si="18"/>
        <v>1347542.857142857</v>
      </c>
      <c r="O21" s="517">
        <f t="shared" si="19"/>
        <v>100095.23809523809</v>
      </c>
      <c r="P21" s="514">
        <f>IF($E$4="",0,IF($O21=0,0,VLOOKUP($O21,'3-1.標準報酬月額・保険料表'!$N$8:$O$57,2,TRUE)))</f>
        <v>98000</v>
      </c>
      <c r="Q21" s="515">
        <f t="shared" si="3"/>
        <v>100095.23809523809</v>
      </c>
      <c r="R21" s="518">
        <f>IF($E$4="",0,IF($Q21=0,0,VLOOKUP($Q21,'3-1.標準報酬月額・保険料表'!$N$8:$O$57,2,TRUE)))</f>
        <v>98000</v>
      </c>
      <c r="S21" s="381">
        <f t="shared" si="20"/>
        <v>100095.23809523809</v>
      </c>
      <c r="T21" s="474">
        <f>IF($E$4="",0,IF($S21=0,0,VLOOKUP($S21,'3-1.標準報酬月額・保険料表'!$N$8:$O$57,2,TRUE)))</f>
        <v>98000</v>
      </c>
      <c r="U21" s="473">
        <f t="shared" si="4"/>
        <v>0</v>
      </c>
      <c r="V21" s="461">
        <f t="shared" si="5"/>
        <v>0</v>
      </c>
      <c r="W21" s="187">
        <f t="shared" si="6"/>
        <v>95595.238095238092</v>
      </c>
      <c r="X21" s="61">
        <f>IF($E$4="",0,IF($I21&lt;20,0,IF($X$13="",0,IF($X$13=2,0,IF($W21&lt;$Y$13,0,IF($T21&lt;=620000,VLOOKUP($T21,'3-1.標準報酬月額・保険料表'!$D$8:$L$42,9,FALSE),'3-1.標準報酬月額・保険料表'!$L$42)+ROUNDDOWN($V21*$AD$7,0))))))</f>
        <v>8967</v>
      </c>
      <c r="Y21" s="50">
        <f>IF($E$4="",0,IF($I21&lt;20,0,IF($U$9="",0,IF($X$13=2,0,IF($E$10&gt;=$Z$13,0,IF($W21&lt;$Y$13,0,VLOOKUP($T21,'3-1.標準報酬月額・保険料表'!$D$8:$J$57,6,FALSE)+ROUNDDOWN($V21*$AA$7,0)))))))</f>
        <v>5042.1000000000004</v>
      </c>
      <c r="Z21" s="50">
        <f>IF($E$4="",0,IF($I21&lt;20,0,IF($X$13="",0,IF($X$13=2,0,IF($E$10&lt;$Z$13,0,IF($W21&lt;$Y$13,0,VLOOKUP($T21,'3-1.標準報酬月額・保険料表'!$D$8:$J$57,7,FALSE)+ROUNDDOWN($V21*$AB$7,0)))))))</f>
        <v>0</v>
      </c>
      <c r="AA21" s="66">
        <f t="shared" si="21"/>
        <v>14009.1</v>
      </c>
      <c r="AB21" s="71">
        <f>IF($E$4="",0,IF($AB$13="",0,IF($AB$13=1,0,IF($I21&lt;$AD$13,0,IF($N21&lt;$AC$13,0,IF($T21&lt;=620000,VLOOKUP($T21,'3-1.標準報酬月額・保険料表'!$D$8:$L$42,9,FALSE),'3-1.標準報酬月額・保険料表'!$L$42)+ROUNDDOWN($V21*$AD$7,0))))))</f>
        <v>0</v>
      </c>
      <c r="AC21" s="72">
        <f>IF($E$4="",0,IF($AB$13="",0,IF($AB$13=1,0,IF($I21&lt;$AD$13,0,IF($N21&lt;$AC$13,0,IF($E$10&gt;=$AE$13,0,VLOOKUP($T21,'3-1.標準報酬月額・保険料表'!$D$8:$J$57,6,FALSE)+ROUNDDOWN($V21*$AA$7,0)))))))</f>
        <v>0</v>
      </c>
      <c r="AD21" s="72">
        <f>IF($E$4="",0,IF($AB$13="",0,IF($AB$13=1,0,IF($I21&lt;$AD$13,0,IF($N21&lt;$AC$13,0,IF($E$10&lt;$AE$13,0,VLOOKUP($T21,'3-1.標準報酬月額・保険料表'!$D$8:$J$57,7,FALSE)+ROUNDDOWN($V21*$AB$7,0)))))))</f>
        <v>0</v>
      </c>
      <c r="AE21" s="73">
        <f t="shared" si="22"/>
        <v>0</v>
      </c>
      <c r="AF21" s="63">
        <f t="shared" si="7"/>
        <v>8085.2571428571428</v>
      </c>
      <c r="AG21" s="68">
        <f t="shared" si="23"/>
        <v>176194.45714285717</v>
      </c>
      <c r="AH21" s="152">
        <f>IF($E$4="","",VLOOKUP($N21,'3-2.所得算出参照表'!K$5:L$10,2,TRUE))</f>
        <v>1625000</v>
      </c>
      <c r="AI21" s="153">
        <f>IF($AH21="",0,IF($AH21='3-2.所得算出参照表'!$B$5,'3-2.所得算出参照表'!$E$5,IF('4-1.手当等支給メニュー'!$AH21='3-2.所得算出参照表'!$B$6,'4-1.手当等支給メニュー'!$N21*'3-2.所得算出参照表'!$E$6+'3-2.所得算出参照表'!$G$6,IF('4-1.手当等支給メニュー'!$AH21='3-2.所得算出参照表'!$B$7,'4-1.手当等支給メニュー'!$N21*'3-2.所得算出参照表'!$E$7+'3-2.所得算出参照表'!$G$7,IF('4-1.手当等支給メニュー'!$AH21='3-2.所得算出参照表'!$B$8,'4-1.手当等支給メニュー'!$N21*'3-2.所得算出参照表'!$E$8+'3-2.所得算出参照表'!$G$8,IF('4-1.手当等支給メニュー'!$AH21='3-2.所得算出参照表'!$B$9,'4-1.手当等支給メニュー'!$N21*'3-2.所得算出参照表'!$E$9+'3-2.所得算出参照表'!$G$9,IF($AH21='3-2.所得算出参照表'!$B$10,'3-2.所得算出参照表'!$G$10)))))))</f>
        <v>550000</v>
      </c>
      <c r="AJ21" s="115">
        <f t="shared" si="8"/>
        <v>480000</v>
      </c>
      <c r="AK21" s="110">
        <f t="shared" si="9"/>
        <v>141000</v>
      </c>
      <c r="AL21" s="155">
        <f>VLOOKUP($AK21,'3-2.所得算出参照表'!$N$4:$O$11,2,TRUE)</f>
        <v>0.05</v>
      </c>
      <c r="AM21" s="110">
        <f>VLOOKUP($AK21,'3-2.所得算出参照表'!$P$4:$Q$11,2,TRUE)</f>
        <v>0</v>
      </c>
      <c r="AN21" s="110">
        <f t="shared" si="24"/>
        <v>7050</v>
      </c>
      <c r="AO21" s="110">
        <f>$AN21*'3-2.所得算出参照表'!$D$14</f>
        <v>148.05000000000001</v>
      </c>
      <c r="AP21" s="124">
        <f t="shared" si="25"/>
        <v>7100</v>
      </c>
      <c r="AQ21" s="132">
        <f>IF($AH21="",0,IF($AH21='3-2.所得算出参照表'!$B$5,'3-2.所得算出参照表'!$E$5,IF('4-1.手当等支給メニュー'!$AH21='3-2.所得算出参照表'!$B$6,'4-1.手当等支給メニュー'!$N21*'3-2.所得算出参照表'!$E$6+'3-2.所得算出参照表'!$G$6,IF('4-1.手当等支給メニュー'!$AH21='3-2.所得算出参照表'!$B$7,'4-1.手当等支給メニュー'!$N21*'3-2.所得算出参照表'!$E$7+'3-2.所得算出参照表'!$G$7,IF('4-1.手当等支給メニュー'!$AH21='3-2.所得算出参照表'!$B$8,'4-1.手当等支給メニュー'!$N21*'3-2.所得算出参照表'!$E$8+'3-2.所得算出参照表'!$G$8,IF('4-1.手当等支給メニュー'!$AH21='3-2.所得算出参照表'!$B$9,'4-1.手当等支給メニュー'!$N21*'3-2.所得算出参照表'!$E$9+'3-2.所得算出参照表'!$G$9,IF($AH21='3-2.所得算出参照表'!$B$10,'3-2.所得算出参照表'!$G$10)))))))</f>
        <v>550000</v>
      </c>
      <c r="AR21" s="72">
        <f t="shared" si="10"/>
        <v>430000</v>
      </c>
      <c r="AS21" s="120">
        <f t="shared" si="11"/>
        <v>191000</v>
      </c>
      <c r="AT21" s="120">
        <f t="shared" si="12"/>
        <v>5500</v>
      </c>
      <c r="AU21" s="121">
        <f t="shared" si="13"/>
        <v>0.1</v>
      </c>
      <c r="AV21" s="128">
        <f t="shared" si="26"/>
        <v>22100</v>
      </c>
      <c r="AW21" s="145">
        <f t="shared" si="14"/>
        <v>1142148.3999999999</v>
      </c>
    </row>
    <row r="22" spans="2:49" ht="21.95" customHeight="1" x14ac:dyDescent="0.15">
      <c r="B22" s="101">
        <v>8</v>
      </c>
      <c r="C22" s="103">
        <f t="shared" si="0"/>
        <v>1000</v>
      </c>
      <c r="D22" s="454">
        <f t="shared" si="1"/>
        <v>88</v>
      </c>
      <c r="E22" s="468">
        <f>IF($E$4="","",IF(AND($I22&gt;=20,$D22=88,'4-1.参照シートー２'!$R22&lt;=104000),($P22+$V22)*$G$12,0))</f>
        <v>15600</v>
      </c>
      <c r="F22" s="503">
        <f>IF('4-1.参照シートー２'!$G22="","",'4-1.参照シートー２'!$G22)</f>
        <v>0</v>
      </c>
      <c r="G22" s="469">
        <f>IF($E$4="","",IF(AND($I22&gt;=20,$D22=88,$R22&gt;104000),('4-1.参照シートー２'!$R22+$V22)*$G$12,0))</f>
        <v>0</v>
      </c>
      <c r="H22" s="447">
        <f t="shared" si="27"/>
        <v>7</v>
      </c>
      <c r="I22" s="85">
        <f t="shared" si="28"/>
        <v>23</v>
      </c>
      <c r="J22" s="198">
        <f t="shared" si="2"/>
        <v>1199.2857142857142</v>
      </c>
      <c r="K22" s="383">
        <f t="shared" si="15"/>
        <v>99940.476190476198</v>
      </c>
      <c r="L22" s="198">
        <f t="shared" si="16"/>
        <v>115540.4761904762</v>
      </c>
      <c r="M22" s="458">
        <f t="shared" si="17"/>
        <v>117540.4761904762</v>
      </c>
      <c r="N22" s="98">
        <f t="shared" si="18"/>
        <v>1410485.7142857143</v>
      </c>
      <c r="O22" s="517">
        <f t="shared" si="19"/>
        <v>104440.4761904762</v>
      </c>
      <c r="P22" s="514">
        <f>IF($E$4="",0,IF($O22=0,0,VLOOKUP($O22,'3-1.標準報酬月額・保険料表'!$N$8:$O$57,2,TRUE)))</f>
        <v>104000</v>
      </c>
      <c r="Q22" s="515">
        <f t="shared" si="3"/>
        <v>104440.4761904762</v>
      </c>
      <c r="R22" s="518">
        <f>IF($E$4="",0,IF($Q22=0,0,VLOOKUP($Q22,'3-1.標準報酬月額・保険料表'!$N$8:$O$57,2,TRUE)))</f>
        <v>104000</v>
      </c>
      <c r="S22" s="381">
        <f t="shared" si="20"/>
        <v>104440.4761904762</v>
      </c>
      <c r="T22" s="474">
        <f>IF($E$4="",0,IF($S22=0,0,VLOOKUP($S22,'3-1.標準報酬月額・保険料表'!$N$8:$O$57,2,TRUE)))</f>
        <v>104000</v>
      </c>
      <c r="U22" s="473">
        <f t="shared" si="4"/>
        <v>0</v>
      </c>
      <c r="V22" s="461">
        <f t="shared" si="5"/>
        <v>0</v>
      </c>
      <c r="W22" s="187">
        <f t="shared" si="6"/>
        <v>99940.476190476198</v>
      </c>
      <c r="X22" s="61">
        <f>IF($E$4="",0,IF($I22&lt;20,0,IF($X$13="",0,IF($X$13=2,0,IF($W22&lt;$Y$13,0,IF($T22&lt;=620000,VLOOKUP($T22,'3-1.標準報酬月額・保険料表'!$D$8:$L$42,9,FALSE),'3-1.標準報酬月額・保険料表'!$L$42)+ROUNDDOWN($V22*$AD$7,0))))))</f>
        <v>9516</v>
      </c>
      <c r="Y22" s="50">
        <f>IF($E$4="",0,IF($I22&lt;20,0,IF($U$9="",0,IF($X$13=2,0,IF($E$10&gt;=$Z$13,0,IF($W22&lt;$Y$13,0,VLOOKUP($T22,'3-1.標準報酬月額・保険料表'!$D$8:$J$57,6,FALSE)+ROUNDDOWN($V22*$AA$7,0)))))))</f>
        <v>5350.8</v>
      </c>
      <c r="Z22" s="50">
        <f>IF($E$4="",0,IF($I22&lt;20,0,IF($X$13="",0,IF($X$13=2,0,IF($E$10&lt;$Z$13,0,IF($W22&lt;$Y$13,0,VLOOKUP($T22,'3-1.標準報酬月額・保険料表'!$D$8:$J$57,7,FALSE)+ROUNDDOWN($V22*$AB$7,0)))))))</f>
        <v>0</v>
      </c>
      <c r="AA22" s="66">
        <f t="shared" si="21"/>
        <v>14866.8</v>
      </c>
      <c r="AB22" s="71">
        <f>IF($E$4="",0,IF($AB$13="",0,IF($AB$13=1,0,IF($I22&lt;$AD$13,0,IF($N22&lt;$AC$13,0,IF($T22&lt;=620000,VLOOKUP($T22,'3-1.標準報酬月額・保険料表'!$D$8:$L$42,9,FALSE),'3-1.標準報酬月額・保険料表'!$L$42)+ROUNDDOWN($V22*$AD$7,0))))))</f>
        <v>0</v>
      </c>
      <c r="AC22" s="72">
        <f>IF($E$4="",0,IF($AB$13="",0,IF($AB$13=1,0,IF($I22&lt;$AD$13,0,IF($N22&lt;$AC$13,0,IF($E$10&gt;=$AE$13,0,VLOOKUP($T22,'3-1.標準報酬月額・保険料表'!$D$8:$J$57,6,FALSE)+ROUNDDOWN($V22*$AA$7,0)))))))</f>
        <v>0</v>
      </c>
      <c r="AD22" s="72">
        <f>IF($E$4="",0,IF($AB$13="",0,IF($AB$13=1,0,IF($I22&lt;$AD$13,0,IF($N22&lt;$AC$13,0,IF($E$10&lt;$AE$13,0,VLOOKUP($T22,'3-1.標準報酬月額・保険料表'!$D$8:$J$57,7,FALSE)+ROUNDDOWN($V22*$AB$7,0)))))))</f>
        <v>0</v>
      </c>
      <c r="AE22" s="73">
        <f t="shared" si="22"/>
        <v>0</v>
      </c>
      <c r="AF22" s="63">
        <f t="shared" si="7"/>
        <v>8462.914285714287</v>
      </c>
      <c r="AG22" s="68">
        <f t="shared" si="23"/>
        <v>186864.51428571425</v>
      </c>
      <c r="AH22" s="152">
        <f>IF($E$4="","",VLOOKUP($N22,'3-2.所得算出参照表'!K$5:L$10,2,TRUE))</f>
        <v>1625000</v>
      </c>
      <c r="AI22" s="153">
        <f>IF($AH22="",0,IF($AH22='3-2.所得算出参照表'!$B$5,'3-2.所得算出参照表'!$E$5,IF('4-1.手当等支給メニュー'!$AH22='3-2.所得算出参照表'!$B$6,'4-1.手当等支給メニュー'!$N22*'3-2.所得算出参照表'!$E$6+'3-2.所得算出参照表'!$G$6,IF('4-1.手当等支給メニュー'!$AH22='3-2.所得算出参照表'!$B$7,'4-1.手当等支給メニュー'!$N22*'3-2.所得算出参照表'!$E$7+'3-2.所得算出参照表'!$G$7,IF('4-1.手当等支給メニュー'!$AH22='3-2.所得算出参照表'!$B$8,'4-1.手当等支給メニュー'!$N22*'3-2.所得算出参照表'!$E$8+'3-2.所得算出参照表'!$G$8,IF('4-1.手当等支給メニュー'!$AH22='3-2.所得算出参照表'!$B$9,'4-1.手当等支給メニュー'!$N22*'3-2.所得算出参照表'!$E$9+'3-2.所得算出参照表'!$G$9,IF($AH22='3-2.所得算出参照表'!$B$10,'3-2.所得算出参照表'!$G$10)))))))</f>
        <v>550000</v>
      </c>
      <c r="AJ22" s="115">
        <f t="shared" si="8"/>
        <v>480000</v>
      </c>
      <c r="AK22" s="110">
        <f t="shared" si="9"/>
        <v>193000</v>
      </c>
      <c r="AL22" s="155">
        <f>VLOOKUP($AK22,'3-2.所得算出参照表'!$N$4:$O$11,2,TRUE)</f>
        <v>0.05</v>
      </c>
      <c r="AM22" s="110">
        <f>VLOOKUP($AK22,'3-2.所得算出参照表'!$P$4:$Q$11,2,TRUE)</f>
        <v>0</v>
      </c>
      <c r="AN22" s="110">
        <f t="shared" si="24"/>
        <v>9650</v>
      </c>
      <c r="AO22" s="110">
        <f>$AN22*'3-2.所得算出参照表'!$D$14</f>
        <v>202.65</v>
      </c>
      <c r="AP22" s="124">
        <f t="shared" si="25"/>
        <v>9800</v>
      </c>
      <c r="AQ22" s="132">
        <f>IF($AH22="",0,IF($AH22='3-2.所得算出参照表'!$B$5,'3-2.所得算出参照表'!$E$5,IF('4-1.手当等支給メニュー'!$AH22='3-2.所得算出参照表'!$B$6,'4-1.手当等支給メニュー'!$N22*'3-2.所得算出参照表'!$E$6+'3-2.所得算出参照表'!$G$6,IF('4-1.手当等支給メニュー'!$AH22='3-2.所得算出参照表'!$B$7,'4-1.手当等支給メニュー'!$N22*'3-2.所得算出参照表'!$E$7+'3-2.所得算出参照表'!$G$7,IF('4-1.手当等支給メニュー'!$AH22='3-2.所得算出参照表'!$B$8,'4-1.手当等支給メニュー'!$N22*'3-2.所得算出参照表'!$E$8+'3-2.所得算出参照表'!$G$8,IF('4-1.手当等支給メニュー'!$AH22='3-2.所得算出参照表'!$B$9,'4-1.手当等支給メニュー'!$N22*'3-2.所得算出参照表'!$E$9+'3-2.所得算出参照表'!$G$9,IF($AH22='3-2.所得算出参照表'!$B$10,'3-2.所得算出参照表'!$G$10)))))))</f>
        <v>550000</v>
      </c>
      <c r="AR22" s="72">
        <f t="shared" si="10"/>
        <v>430000</v>
      </c>
      <c r="AS22" s="120">
        <f t="shared" si="11"/>
        <v>243000</v>
      </c>
      <c r="AT22" s="120">
        <f t="shared" si="12"/>
        <v>5500</v>
      </c>
      <c r="AU22" s="121">
        <f t="shared" si="13"/>
        <v>0.1</v>
      </c>
      <c r="AV22" s="128">
        <f t="shared" si="26"/>
        <v>27300</v>
      </c>
      <c r="AW22" s="145">
        <f t="shared" si="14"/>
        <v>1186521.2000000002</v>
      </c>
    </row>
    <row r="23" spans="2:49" ht="21.95" customHeight="1" x14ac:dyDescent="0.15">
      <c r="B23" s="101">
        <v>9</v>
      </c>
      <c r="C23" s="103">
        <f t="shared" si="0"/>
        <v>1000</v>
      </c>
      <c r="D23" s="454">
        <f t="shared" si="1"/>
        <v>88</v>
      </c>
      <c r="E23" s="468">
        <f>IF($E$4="","",IF(AND($I23&gt;=20,$D23=88,'4-1.参照シートー２'!$R23&lt;=104000),($P23+$V23)*$G$12,0))</f>
        <v>0</v>
      </c>
      <c r="F23" s="503">
        <f>IF('4-1.参照シートー２'!$G23="","",'4-1.参照シートー２'!$G23)</f>
        <v>18900</v>
      </c>
      <c r="G23" s="469">
        <f>IF($E$4="","",IF(AND($I23&gt;=20,$D23=88,$R23&gt;104000),('4-1.参照シートー２'!$R23+$V23)*$G$12,0))</f>
        <v>18900</v>
      </c>
      <c r="H23" s="447">
        <f t="shared" si="27"/>
        <v>8</v>
      </c>
      <c r="I23" s="85">
        <f t="shared" si="28"/>
        <v>24</v>
      </c>
      <c r="J23" s="198">
        <f t="shared" si="2"/>
        <v>1251.4285714285713</v>
      </c>
      <c r="K23" s="383">
        <f t="shared" si="15"/>
        <v>104285.71428571428</v>
      </c>
      <c r="L23" s="198">
        <f t="shared" si="16"/>
        <v>123185.71428571428</v>
      </c>
      <c r="M23" s="458">
        <f t="shared" si="17"/>
        <v>125185.71428571428</v>
      </c>
      <c r="N23" s="98">
        <f t="shared" si="18"/>
        <v>1502228.5714285714</v>
      </c>
      <c r="O23" s="517">
        <f t="shared" si="19"/>
        <v>108785.71428571428</v>
      </c>
      <c r="P23" s="514">
        <f>IF($E$4="",0,IF($O23=0,0,VLOOKUP($O23,'3-1.標準報酬月額・保険料表'!$N$8:$O$57,2,TRUE)))</f>
        <v>110000</v>
      </c>
      <c r="Q23" s="515">
        <f t="shared" si="3"/>
        <v>127685.71428571428</v>
      </c>
      <c r="R23" s="518">
        <f>IF($E$4="",0,IF($Q23=0,0,VLOOKUP($Q23,'3-1.標準報酬月額・保険料表'!$N$8:$O$57,2,TRUE)))</f>
        <v>126000</v>
      </c>
      <c r="S23" s="381">
        <f t="shared" si="20"/>
        <v>127685.71428571428</v>
      </c>
      <c r="T23" s="474">
        <f>IF($E$4="",0,IF($S23=0,0,VLOOKUP($S23,'3-1.標準報酬月額・保険料表'!$N$8:$O$57,2,TRUE)))</f>
        <v>126000</v>
      </c>
      <c r="U23" s="473">
        <f t="shared" si="4"/>
        <v>0</v>
      </c>
      <c r="V23" s="461">
        <f t="shared" si="5"/>
        <v>0</v>
      </c>
      <c r="W23" s="187">
        <f t="shared" si="6"/>
        <v>104285.71428571428</v>
      </c>
      <c r="X23" s="61">
        <f>IF($E$4="",0,IF($I23&lt;20,0,IF($X$13="",0,IF($X$13=2,0,IF($W23&lt;$Y$13,0,IF($T23&lt;=620000,VLOOKUP($T23,'3-1.標準報酬月額・保険料表'!$D$8:$L$42,9,FALSE),'3-1.標準報酬月額・保険料表'!$L$42)+ROUNDDOWN($V23*$AD$7,0))))))</f>
        <v>11529</v>
      </c>
      <c r="Y23" s="50">
        <f>IF($E$4="",0,IF($I23&lt;20,0,IF($U$9="",0,IF($X$13=2,0,IF($E$10&gt;=$Z$13,0,IF($W23&lt;$Y$13,0,VLOOKUP($T23,'3-1.標準報酬月額・保険料表'!$D$8:$J$57,6,FALSE)+ROUNDDOWN($V23*$AA$7,0)))))))</f>
        <v>6482.7000000000007</v>
      </c>
      <c r="Z23" s="50">
        <f>IF($E$4="",0,IF($I23&lt;20,0,IF($X$13="",0,IF($X$13=2,0,IF($E$10&lt;$Z$13,0,IF($W23&lt;$Y$13,0,VLOOKUP($T23,'3-1.標準報酬月額・保険料表'!$D$8:$J$57,7,FALSE)+ROUNDDOWN($V23*$AB$7,0)))))))</f>
        <v>0</v>
      </c>
      <c r="AA23" s="66">
        <f t="shared" si="21"/>
        <v>18011.7</v>
      </c>
      <c r="AB23" s="71">
        <f>IF($E$4="",0,IF($AB$13="",0,IF($AB$13=1,0,IF($I23&lt;$AD$13,0,IF($N23&lt;$AC$13,0,IF($T23&lt;=620000,VLOOKUP($T23,'3-1.標準報酬月額・保険料表'!$D$8:$L$42,9,FALSE),'3-1.標準報酬月額・保険料表'!$L$42)+ROUNDDOWN($V23*$AD$7,0))))))</f>
        <v>0</v>
      </c>
      <c r="AC23" s="72">
        <f>IF($E$4="",0,IF($AB$13="",0,IF($AB$13=1,0,IF($I23&lt;$AD$13,0,IF($N23&lt;$AC$13,0,IF($E$10&gt;=$AE$13,0,VLOOKUP($T23,'3-1.標準報酬月額・保険料表'!$D$8:$J$57,6,FALSE)+ROUNDDOWN($V23*$AA$7,0)))))))</f>
        <v>0</v>
      </c>
      <c r="AD23" s="72">
        <f>IF($E$4="",0,IF($AB$13="",0,IF($AB$13=1,0,IF($I23&lt;$AD$13,0,IF($N23&lt;$AC$13,0,IF($E$10&lt;$AE$13,0,VLOOKUP($T23,'3-1.標準報酬月額・保険料表'!$D$8:$J$57,7,FALSE)+ROUNDDOWN($V23*$AB$7,0)))))))</f>
        <v>0</v>
      </c>
      <c r="AE23" s="73">
        <f t="shared" si="22"/>
        <v>0</v>
      </c>
      <c r="AF23" s="63">
        <f t="shared" si="7"/>
        <v>9013.3714285714286</v>
      </c>
      <c r="AG23" s="68">
        <f t="shared" si="23"/>
        <v>225153.77142857146</v>
      </c>
      <c r="AH23" s="152">
        <f>IF($E$4="","",VLOOKUP($N23,'3-2.所得算出参照表'!K$5:L$10,2,TRUE))</f>
        <v>1625000</v>
      </c>
      <c r="AI23" s="153">
        <f>IF($AH23="",0,IF($AH23='3-2.所得算出参照表'!$B$5,'3-2.所得算出参照表'!$E$5,IF('4-1.手当等支給メニュー'!$AH23='3-2.所得算出参照表'!$B$6,'4-1.手当等支給メニュー'!$N23*'3-2.所得算出参照表'!$E$6+'3-2.所得算出参照表'!$G$6,IF('4-1.手当等支給メニュー'!$AH23='3-2.所得算出参照表'!$B$7,'4-1.手当等支給メニュー'!$N23*'3-2.所得算出参照表'!$E$7+'3-2.所得算出参照表'!$G$7,IF('4-1.手当等支給メニュー'!$AH23='3-2.所得算出参照表'!$B$8,'4-1.手当等支給メニュー'!$N23*'3-2.所得算出参照表'!$E$8+'3-2.所得算出参照表'!$G$8,IF('4-1.手当等支給メニュー'!$AH23='3-2.所得算出参照表'!$B$9,'4-1.手当等支給メニュー'!$N23*'3-2.所得算出参照表'!$E$9+'3-2.所得算出参照表'!$G$9,IF($AH23='3-2.所得算出参照表'!$B$10,'3-2.所得算出参照表'!$G$10)))))))</f>
        <v>550000</v>
      </c>
      <c r="AJ23" s="115">
        <f t="shared" si="8"/>
        <v>480000</v>
      </c>
      <c r="AK23" s="110">
        <f t="shared" si="9"/>
        <v>247000</v>
      </c>
      <c r="AL23" s="155">
        <f>VLOOKUP($AK23,'3-2.所得算出参照表'!$N$4:$O$11,2,TRUE)</f>
        <v>0.05</v>
      </c>
      <c r="AM23" s="110">
        <f>VLOOKUP($AK23,'3-2.所得算出参照表'!$P$4:$Q$11,2,TRUE)</f>
        <v>0</v>
      </c>
      <c r="AN23" s="110">
        <f t="shared" si="24"/>
        <v>12350</v>
      </c>
      <c r="AO23" s="110">
        <f>$AN23*'3-2.所得算出参照表'!$D$14</f>
        <v>259.35000000000002</v>
      </c>
      <c r="AP23" s="124">
        <f t="shared" si="25"/>
        <v>12600</v>
      </c>
      <c r="AQ23" s="132">
        <f>IF($AH23="",0,IF($AH23='3-2.所得算出参照表'!$B$5,'3-2.所得算出参照表'!$E$5,IF('4-1.手当等支給メニュー'!$AH23='3-2.所得算出参照表'!$B$6,'4-1.手当等支給メニュー'!$N23*'3-2.所得算出参照表'!$E$6+'3-2.所得算出参照表'!$G$6,IF('4-1.手当等支給メニュー'!$AH23='3-2.所得算出参照表'!$B$7,'4-1.手当等支給メニュー'!$N23*'3-2.所得算出参照表'!$E$7+'3-2.所得算出参照表'!$G$7,IF('4-1.手当等支給メニュー'!$AH23='3-2.所得算出参照表'!$B$8,'4-1.手当等支給メニュー'!$N23*'3-2.所得算出参照表'!$E$8+'3-2.所得算出参照表'!$G$8,IF('4-1.手当等支給メニュー'!$AH23='3-2.所得算出参照表'!$B$9,'4-1.手当等支給メニュー'!$N23*'3-2.所得算出参照表'!$E$9+'3-2.所得算出参照表'!$G$9,IF($AH23='3-2.所得算出参照表'!$B$10,'3-2.所得算出参照表'!$G$10)))))))</f>
        <v>550000</v>
      </c>
      <c r="AR23" s="72">
        <f t="shared" si="10"/>
        <v>430000</v>
      </c>
      <c r="AS23" s="120">
        <f t="shared" si="11"/>
        <v>297000</v>
      </c>
      <c r="AT23" s="120">
        <f t="shared" si="12"/>
        <v>5500</v>
      </c>
      <c r="AU23" s="121">
        <f t="shared" si="13"/>
        <v>0.1</v>
      </c>
      <c r="AV23" s="128">
        <f t="shared" si="26"/>
        <v>32700</v>
      </c>
      <c r="AW23" s="145">
        <f t="shared" si="14"/>
        <v>1231774.7999999998</v>
      </c>
    </row>
    <row r="24" spans="2:49" ht="21.95" customHeight="1" x14ac:dyDescent="0.15">
      <c r="B24" s="101">
        <v>10</v>
      </c>
      <c r="C24" s="103">
        <f t="shared" si="0"/>
        <v>1000</v>
      </c>
      <c r="D24" s="454">
        <f t="shared" si="1"/>
        <v>88</v>
      </c>
      <c r="E24" s="468">
        <f>IF($E$4="","",IF(AND($I24&gt;=20,$D24=88,'4-1.参照シートー２'!$R24&lt;=104000),($P24+$V24)*$G$12,0))</f>
        <v>0</v>
      </c>
      <c r="F24" s="503">
        <f>IF('4-1.参照シートー２'!$G24="","",'4-1.参照シートー２'!$G24)</f>
        <v>20100</v>
      </c>
      <c r="G24" s="469">
        <f>IF($E$4="","",IF(AND($I24&gt;=20,$D24=88,$R24&gt;104000),('4-1.参照シートー２'!$R24+$V24)*$G$12,0))</f>
        <v>20100</v>
      </c>
      <c r="H24" s="447">
        <f t="shared" si="27"/>
        <v>9</v>
      </c>
      <c r="I24" s="85">
        <f t="shared" si="28"/>
        <v>25</v>
      </c>
      <c r="J24" s="198">
        <f t="shared" si="2"/>
        <v>1303.5714285714287</v>
      </c>
      <c r="K24" s="383">
        <f t="shared" si="15"/>
        <v>108630.95238095238</v>
      </c>
      <c r="L24" s="198">
        <f t="shared" si="16"/>
        <v>128730.95238095238</v>
      </c>
      <c r="M24" s="458">
        <f t="shared" si="17"/>
        <v>130730.95238095238</v>
      </c>
      <c r="N24" s="98">
        <f t="shared" si="18"/>
        <v>1568771.4285714286</v>
      </c>
      <c r="O24" s="517">
        <f t="shared" si="19"/>
        <v>113130.95238095238</v>
      </c>
      <c r="P24" s="514">
        <f>IF($E$4="",0,IF($O24=0,0,VLOOKUP($O24,'3-1.標準報酬月額・保険料表'!$N$8:$O$57,2,TRUE)))</f>
        <v>110000</v>
      </c>
      <c r="Q24" s="515">
        <f t="shared" si="3"/>
        <v>133230.95238095237</v>
      </c>
      <c r="R24" s="518">
        <f>IF($E$4="",0,IF($Q24=0,0,VLOOKUP($Q24,'3-1.標準報酬月額・保険料表'!$N$8:$O$57,2,TRUE)))</f>
        <v>134000</v>
      </c>
      <c r="S24" s="381">
        <f t="shared" si="20"/>
        <v>133230.95238095237</v>
      </c>
      <c r="T24" s="474">
        <f>IF($E$4="",0,IF($S24=0,0,VLOOKUP($S24,'3-1.標準報酬月額・保険料表'!$N$8:$O$57,2,TRUE)))</f>
        <v>134000</v>
      </c>
      <c r="U24" s="473">
        <f t="shared" si="4"/>
        <v>0</v>
      </c>
      <c r="V24" s="461">
        <f t="shared" si="5"/>
        <v>0</v>
      </c>
      <c r="W24" s="187">
        <f t="shared" si="6"/>
        <v>108630.95238095238</v>
      </c>
      <c r="X24" s="61">
        <f>IF($E$4="",0,IF($I24&lt;20,0,IF($X$13="",0,IF($X$13=2,0,IF($W24&lt;$Y$13,0,IF($T24&lt;=620000,VLOOKUP($T24,'3-1.標準報酬月額・保険料表'!$D$8:$L$42,9,FALSE),'3-1.標準報酬月額・保険料表'!$L$42)+ROUNDDOWN($V24*$AD$7,0))))))</f>
        <v>12261</v>
      </c>
      <c r="Y24" s="50">
        <f>IF($E$4="",0,IF($I24&lt;20,0,IF($U$9="",0,IF($X$13=2,0,IF($E$10&gt;=$Z$13,0,IF($W24&lt;$Y$13,0,VLOOKUP($T24,'3-1.標準報酬月額・保険料表'!$D$8:$J$57,6,FALSE)+ROUNDDOWN($V24*$AA$7,0)))))))</f>
        <v>6894.3</v>
      </c>
      <c r="Z24" s="50">
        <f>IF($E$4="",0,IF($I24&lt;20,0,IF($X$13="",0,IF($X$13=2,0,IF($E$10&lt;$Z$13,0,IF($W24&lt;$Y$13,0,VLOOKUP($T24,'3-1.標準報酬月額・保険料表'!$D$8:$J$57,7,FALSE)+ROUNDDOWN($V24*$AB$7,0)))))))</f>
        <v>0</v>
      </c>
      <c r="AA24" s="66">
        <f t="shared" si="21"/>
        <v>19155.3</v>
      </c>
      <c r="AB24" s="71">
        <f>IF($E$4="",0,IF($AB$13="",0,IF($AB$13=1,0,IF($I24&lt;$AD$13,0,IF($N24&lt;$AC$13,0,IF($T24&lt;=620000,VLOOKUP($T24,'3-1.標準報酬月額・保険料表'!$D$8:$L$42,9,FALSE),'3-1.標準報酬月額・保険料表'!$L$42)+ROUNDDOWN($V24*$AD$7,0))))))</f>
        <v>0</v>
      </c>
      <c r="AC24" s="72">
        <f>IF($E$4="",0,IF($AB$13="",0,IF($AB$13=1,0,IF($I24&lt;$AD$13,0,IF($N24&lt;$AC$13,0,IF($E$10&gt;=$AE$13,0,VLOOKUP($T24,'3-1.標準報酬月額・保険料表'!$D$8:$J$57,6,FALSE)+ROUNDDOWN($V24*$AA$7,0)))))))</f>
        <v>0</v>
      </c>
      <c r="AD24" s="72">
        <f>IF($E$4="",0,IF($AB$13="",0,IF($AB$13=1,0,IF($I24&lt;$AD$13,0,IF($N24&lt;$AC$13,0,IF($E$10&lt;$AE$13,0,VLOOKUP($T24,'3-1.標準報酬月額・保険料表'!$D$8:$J$57,7,FALSE)+ROUNDDOWN($V24*$AB$7,0)))))))</f>
        <v>0</v>
      </c>
      <c r="AE24" s="73">
        <f t="shared" si="22"/>
        <v>0</v>
      </c>
      <c r="AF24" s="63">
        <f t="shared" si="7"/>
        <v>9412.6285714285714</v>
      </c>
      <c r="AG24" s="68">
        <f t="shared" si="23"/>
        <v>239276.22857142854</v>
      </c>
      <c r="AH24" s="152">
        <f>IF($E$4="","",VLOOKUP($N24,'3-2.所得算出参照表'!K$5:L$10,2,TRUE))</f>
        <v>1625000</v>
      </c>
      <c r="AI24" s="153">
        <f>IF($AH24="",0,IF($AH24='3-2.所得算出参照表'!$B$5,'3-2.所得算出参照表'!$E$5,IF('4-1.手当等支給メニュー'!$AH24='3-2.所得算出参照表'!$B$6,'4-1.手当等支給メニュー'!$N24*'3-2.所得算出参照表'!$E$6+'3-2.所得算出参照表'!$G$6,IF('4-1.手当等支給メニュー'!$AH24='3-2.所得算出参照表'!$B$7,'4-1.手当等支給メニュー'!$N24*'3-2.所得算出参照表'!$E$7+'3-2.所得算出参照表'!$G$7,IF('4-1.手当等支給メニュー'!$AH24='3-2.所得算出参照表'!$B$8,'4-1.手当等支給メニュー'!$N24*'3-2.所得算出参照表'!$E$8+'3-2.所得算出参照表'!$G$8,IF('4-1.手当等支給メニュー'!$AH24='3-2.所得算出参照表'!$B$9,'4-1.手当等支給メニュー'!$N24*'3-2.所得算出参照表'!$E$9+'3-2.所得算出参照表'!$G$9,IF($AH24='3-2.所得算出参照表'!$B$10,'3-2.所得算出参照表'!$G$10)))))))</f>
        <v>550000</v>
      </c>
      <c r="AJ24" s="115">
        <f t="shared" si="8"/>
        <v>480000</v>
      </c>
      <c r="AK24" s="110">
        <f t="shared" si="9"/>
        <v>299000</v>
      </c>
      <c r="AL24" s="155">
        <f>VLOOKUP($AK24,'3-2.所得算出参照表'!$N$4:$O$11,2,TRUE)</f>
        <v>0.05</v>
      </c>
      <c r="AM24" s="110">
        <f>VLOOKUP($AK24,'3-2.所得算出参照表'!$P$4:$Q$11,2,TRUE)</f>
        <v>0</v>
      </c>
      <c r="AN24" s="110">
        <f t="shared" si="24"/>
        <v>14950</v>
      </c>
      <c r="AO24" s="110">
        <f>$AN24*'3-2.所得算出参照表'!$D$14</f>
        <v>313.95000000000005</v>
      </c>
      <c r="AP24" s="124">
        <f t="shared" si="25"/>
        <v>15200</v>
      </c>
      <c r="AQ24" s="132">
        <f>IF($AH24="",0,IF($AH24='3-2.所得算出参照表'!$B$5,'3-2.所得算出参照表'!$E$5,IF('4-1.手当等支給メニュー'!$AH24='3-2.所得算出参照表'!$B$6,'4-1.手当等支給メニュー'!$N24*'3-2.所得算出参照表'!$E$6+'3-2.所得算出参照表'!$G$6,IF('4-1.手当等支給メニュー'!$AH24='3-2.所得算出参照表'!$B$7,'4-1.手当等支給メニュー'!$N24*'3-2.所得算出参照表'!$E$7+'3-2.所得算出参照表'!$G$7,IF('4-1.手当等支給メニュー'!$AH24='3-2.所得算出参照表'!$B$8,'4-1.手当等支給メニュー'!$N24*'3-2.所得算出参照表'!$E$8+'3-2.所得算出参照表'!$G$8,IF('4-1.手当等支給メニュー'!$AH24='3-2.所得算出参照表'!$B$9,'4-1.手当等支給メニュー'!$N24*'3-2.所得算出参照表'!$E$9+'3-2.所得算出参照表'!$G$9,IF($AH24='3-2.所得算出参照表'!$B$10,'3-2.所得算出参照表'!$G$10)))))))</f>
        <v>550000</v>
      </c>
      <c r="AR24" s="72">
        <f t="shared" si="10"/>
        <v>430000</v>
      </c>
      <c r="AS24" s="120">
        <f t="shared" si="11"/>
        <v>349000</v>
      </c>
      <c r="AT24" s="120">
        <f t="shared" si="12"/>
        <v>5500</v>
      </c>
      <c r="AU24" s="121">
        <f t="shared" si="13"/>
        <v>0.1</v>
      </c>
      <c r="AV24" s="128">
        <f t="shared" si="26"/>
        <v>37900</v>
      </c>
      <c r="AW24" s="145">
        <f t="shared" si="14"/>
        <v>1276395.2000000002</v>
      </c>
    </row>
    <row r="25" spans="2:49" ht="21.95" customHeight="1" x14ac:dyDescent="0.15">
      <c r="B25" s="101">
        <v>11</v>
      </c>
      <c r="C25" s="103">
        <f t="shared" si="0"/>
        <v>1000</v>
      </c>
      <c r="D25" s="454">
        <f t="shared" si="1"/>
        <v>88</v>
      </c>
      <c r="E25" s="468">
        <f>IF($E$4="","",IF(AND($I25&gt;=20,$D25=88,'4-1.参照シートー２'!$R25&lt;=104000),($P25+$V25)*$G$12,0))</f>
        <v>0</v>
      </c>
      <c r="F25" s="503">
        <f>IF('4-1.参照シートー２'!$G25="","",'4-1.参照シートー２'!$G25)</f>
        <v>20100</v>
      </c>
      <c r="G25" s="469">
        <f>IF($E$4="","",IF(AND($I25&gt;=20,$D25=88,$R25&gt;104000),('4-1.参照シートー２'!$R25+$V25)*$G$12,0))</f>
        <v>20100</v>
      </c>
      <c r="H25" s="447">
        <f t="shared" si="27"/>
        <v>10</v>
      </c>
      <c r="I25" s="85">
        <f t="shared" si="28"/>
        <v>26</v>
      </c>
      <c r="J25" s="198">
        <f t="shared" si="2"/>
        <v>1355.7142857142858</v>
      </c>
      <c r="K25" s="383">
        <f t="shared" si="15"/>
        <v>112976.19047619047</v>
      </c>
      <c r="L25" s="198">
        <f t="shared" si="16"/>
        <v>133076.19047619047</v>
      </c>
      <c r="M25" s="458">
        <f t="shared" si="17"/>
        <v>135076.19047619047</v>
      </c>
      <c r="N25" s="98">
        <f t="shared" si="18"/>
        <v>1620914.2857142857</v>
      </c>
      <c r="O25" s="517">
        <f t="shared" si="19"/>
        <v>117476.19047619047</v>
      </c>
      <c r="P25" s="514">
        <f>IF($E$4="",0,IF($O25=0,0,VLOOKUP($O25,'3-1.標準報酬月額・保険料表'!$N$8:$O$57,2,TRUE)))</f>
        <v>118000</v>
      </c>
      <c r="Q25" s="515">
        <f t="shared" si="3"/>
        <v>137576.19047619047</v>
      </c>
      <c r="R25" s="518">
        <f>IF($E$4="",0,IF($Q25=0,0,VLOOKUP($Q25,'3-1.標準報酬月額・保険料表'!$N$8:$O$57,2,TRUE)))</f>
        <v>134000</v>
      </c>
      <c r="S25" s="381">
        <f t="shared" si="20"/>
        <v>137576.19047619047</v>
      </c>
      <c r="T25" s="474">
        <f>IF($E$4="",0,IF($S25=0,0,VLOOKUP($S25,'3-1.標準報酬月額・保険料表'!$N$8:$O$57,2,TRUE)))</f>
        <v>134000</v>
      </c>
      <c r="U25" s="473">
        <f t="shared" si="4"/>
        <v>0</v>
      </c>
      <c r="V25" s="461">
        <f t="shared" si="5"/>
        <v>0</v>
      </c>
      <c r="W25" s="187">
        <f t="shared" si="6"/>
        <v>112976.19047619047</v>
      </c>
      <c r="X25" s="61">
        <f>IF($E$4="",0,IF($I25&lt;20,0,IF($X$13="",0,IF($X$13=2,0,IF($W25&lt;$Y$13,0,IF($T25&lt;=620000,VLOOKUP($T25,'3-1.標準報酬月額・保険料表'!$D$8:$L$42,9,FALSE),'3-1.標準報酬月額・保険料表'!$L$42)+ROUNDDOWN($V25*$AD$7,0))))))</f>
        <v>12261</v>
      </c>
      <c r="Y25" s="50">
        <f>IF($E$4="",0,IF($I25&lt;20,0,IF($U$9="",0,IF($X$13=2,0,IF($E$10&gt;=$Z$13,0,IF($W25&lt;$Y$13,0,VLOOKUP($T25,'3-1.標準報酬月額・保険料表'!$D$8:$J$57,6,FALSE)+ROUNDDOWN($V25*$AA$7,0)))))))</f>
        <v>6894.3</v>
      </c>
      <c r="Z25" s="50">
        <f>IF($E$4="",0,IF($I25&lt;20,0,IF($X$13="",0,IF($X$13=2,0,IF($E$10&lt;$Z$13,0,IF($W25&lt;$Y$13,0,VLOOKUP($T25,'3-1.標準報酬月額・保険料表'!$D$8:$J$57,7,FALSE)+ROUNDDOWN($V25*$AB$7,0)))))))</f>
        <v>0</v>
      </c>
      <c r="AA25" s="66">
        <f t="shared" si="21"/>
        <v>19155.3</v>
      </c>
      <c r="AB25" s="71">
        <f>IF($E$4="",0,IF($AB$13="",0,IF($AB$13=1,0,IF($I25&lt;$AD$13,0,IF($N25&lt;$AC$13,0,IF($T25&lt;=620000,VLOOKUP($T25,'3-1.標準報酬月額・保険料表'!$D$8:$L$42,9,FALSE),'3-1.標準報酬月額・保険料表'!$L$42)+ROUNDDOWN($V25*$AD$7,0))))))</f>
        <v>0</v>
      </c>
      <c r="AC25" s="72">
        <f>IF($E$4="",0,IF($AB$13="",0,IF($AB$13=1,0,IF($I25&lt;$AD$13,0,IF($N25&lt;$AC$13,0,IF($E$10&gt;=$AE$13,0,VLOOKUP($T25,'3-1.標準報酬月額・保険料表'!$D$8:$J$57,6,FALSE)+ROUNDDOWN($V25*$AA$7,0)))))))</f>
        <v>0</v>
      </c>
      <c r="AD25" s="72">
        <f>IF($E$4="",0,IF($AB$13="",0,IF($AB$13=1,0,IF($I25&lt;$AD$13,0,IF($N25&lt;$AC$13,0,IF($E$10&lt;$AE$13,0,VLOOKUP($T25,'3-1.標準報酬月額・保険料表'!$D$8:$J$57,7,FALSE)+ROUNDDOWN($V25*$AB$7,0)))))))</f>
        <v>0</v>
      </c>
      <c r="AE25" s="73">
        <f t="shared" si="22"/>
        <v>0</v>
      </c>
      <c r="AF25" s="63">
        <f t="shared" si="7"/>
        <v>9725.4857142857145</v>
      </c>
      <c r="AG25" s="68">
        <f t="shared" si="23"/>
        <v>239589.0857142857</v>
      </c>
      <c r="AH25" s="152">
        <f>IF($E$4="","",VLOOKUP($N25,'3-2.所得算出参照表'!K$5:L$10,2,TRUE))</f>
        <v>1625000</v>
      </c>
      <c r="AI25" s="153">
        <f>IF($AH25="",0,IF($AH25='3-2.所得算出参照表'!$B$5,'3-2.所得算出参照表'!$E$5,IF('4-1.手当等支給メニュー'!$AH25='3-2.所得算出参照表'!$B$6,'4-1.手当等支給メニュー'!$N25*'3-2.所得算出参照表'!$E$6+'3-2.所得算出参照表'!$G$6,IF('4-1.手当等支給メニュー'!$AH25='3-2.所得算出参照表'!$B$7,'4-1.手当等支給メニュー'!$N25*'3-2.所得算出参照表'!$E$7+'3-2.所得算出参照表'!$G$7,IF('4-1.手当等支給メニュー'!$AH25='3-2.所得算出参照表'!$B$8,'4-1.手当等支給メニュー'!$N25*'3-2.所得算出参照表'!$E$8+'3-2.所得算出参照表'!$G$8,IF('4-1.手当等支給メニュー'!$AH25='3-2.所得算出参照表'!$B$9,'4-1.手当等支給メニュー'!$N25*'3-2.所得算出参照表'!$E$9+'3-2.所得算出参照表'!$G$9,IF($AH25='3-2.所得算出参照表'!$B$10,'3-2.所得算出参照表'!$G$10)))))))</f>
        <v>550000</v>
      </c>
      <c r="AJ25" s="115">
        <f t="shared" si="8"/>
        <v>480000</v>
      </c>
      <c r="AK25" s="110">
        <f t="shared" si="9"/>
        <v>351000</v>
      </c>
      <c r="AL25" s="155">
        <f>VLOOKUP($AK25,'3-2.所得算出参照表'!$N$4:$O$11,2,TRUE)</f>
        <v>0.05</v>
      </c>
      <c r="AM25" s="110">
        <f>VLOOKUP($AK25,'3-2.所得算出参照表'!$P$4:$Q$11,2,TRUE)</f>
        <v>0</v>
      </c>
      <c r="AN25" s="110">
        <f t="shared" si="24"/>
        <v>17550</v>
      </c>
      <c r="AO25" s="110">
        <f>$AN25*'3-2.所得算出参照表'!$D$14</f>
        <v>368.55</v>
      </c>
      <c r="AP25" s="124">
        <f t="shared" si="25"/>
        <v>17900</v>
      </c>
      <c r="AQ25" s="132">
        <f>IF($AH25="",0,IF($AH25='3-2.所得算出参照表'!$B$5,'3-2.所得算出参照表'!$E$5,IF('4-1.手当等支給メニュー'!$AH25='3-2.所得算出参照表'!$B$6,'4-1.手当等支給メニュー'!$N25*'3-2.所得算出参照表'!$E$6+'3-2.所得算出参照表'!$G$6,IF('4-1.手当等支給メニュー'!$AH25='3-2.所得算出参照表'!$B$7,'4-1.手当等支給メニュー'!$N25*'3-2.所得算出参照表'!$E$7+'3-2.所得算出参照表'!$G$7,IF('4-1.手当等支給メニュー'!$AH25='3-2.所得算出参照表'!$B$8,'4-1.手当等支給メニュー'!$N25*'3-2.所得算出参照表'!$E$8+'3-2.所得算出参照表'!$G$8,IF('4-1.手当等支給メニュー'!$AH25='3-2.所得算出参照表'!$B$9,'4-1.手当等支給メニュー'!$N25*'3-2.所得算出参照表'!$E$9+'3-2.所得算出参照表'!$G$9,IF($AH25='3-2.所得算出参照表'!$B$10,'3-2.所得算出参照表'!$G$10)))))))</f>
        <v>550000</v>
      </c>
      <c r="AR25" s="72">
        <f t="shared" si="10"/>
        <v>430000</v>
      </c>
      <c r="AS25" s="120">
        <f t="shared" si="11"/>
        <v>401000</v>
      </c>
      <c r="AT25" s="120">
        <f t="shared" si="12"/>
        <v>5500</v>
      </c>
      <c r="AU25" s="121">
        <f t="shared" si="13"/>
        <v>0.1</v>
      </c>
      <c r="AV25" s="128">
        <f t="shared" si="26"/>
        <v>43100</v>
      </c>
      <c r="AW25" s="145">
        <f t="shared" si="14"/>
        <v>1320325.2</v>
      </c>
    </row>
    <row r="26" spans="2:49" ht="21.95" customHeight="1" x14ac:dyDescent="0.15">
      <c r="B26" s="101">
        <v>12</v>
      </c>
      <c r="C26" s="103">
        <f t="shared" si="0"/>
        <v>1000</v>
      </c>
      <c r="D26" s="454">
        <f t="shared" si="1"/>
        <v>88</v>
      </c>
      <c r="E26" s="468">
        <f>IF($E$4="","",IF(AND($I26&gt;=20,$D26=88,'4-1.参照シートー２'!$R26&lt;=104000),($P26+$V26)*$G$12,0))</f>
        <v>0</v>
      </c>
      <c r="F26" s="503">
        <f>IF('4-1.参照シートー２'!$G26="","",'4-1.参照シートー２'!$G26)</f>
        <v>21300</v>
      </c>
      <c r="G26" s="469">
        <f>IF($E$4="","",IF(AND($I26&gt;=20,$D26=88,$R26&gt;104000),('4-1.参照シートー２'!$R26+$V26)*$G$12,0))</f>
        <v>21300</v>
      </c>
      <c r="H26" s="447">
        <f t="shared" si="27"/>
        <v>11</v>
      </c>
      <c r="I26" s="85">
        <f t="shared" si="28"/>
        <v>27</v>
      </c>
      <c r="J26" s="198">
        <f t="shared" si="2"/>
        <v>1407.8571428571429</v>
      </c>
      <c r="K26" s="383">
        <f t="shared" si="15"/>
        <v>117321.42857142858</v>
      </c>
      <c r="L26" s="198">
        <f t="shared" si="16"/>
        <v>138621.42857142858</v>
      </c>
      <c r="M26" s="458">
        <f t="shared" si="17"/>
        <v>140621.42857142858</v>
      </c>
      <c r="N26" s="98">
        <f t="shared" si="18"/>
        <v>1687457.142857143</v>
      </c>
      <c r="O26" s="517">
        <f t="shared" si="19"/>
        <v>121821.42857142858</v>
      </c>
      <c r="P26" s="514">
        <f>IF($E$4="",0,IF($O26=0,0,VLOOKUP($O26,'3-1.標準報酬月額・保険料表'!$N$8:$O$57,2,TRUE)))</f>
        <v>118000</v>
      </c>
      <c r="Q26" s="515">
        <f t="shared" si="3"/>
        <v>143121.42857142858</v>
      </c>
      <c r="R26" s="518">
        <f>IF($E$4="",0,IF($Q26=0,0,VLOOKUP($Q26,'3-1.標準報酬月額・保険料表'!$N$8:$O$57,2,TRUE)))</f>
        <v>142000</v>
      </c>
      <c r="S26" s="381">
        <f t="shared" si="20"/>
        <v>143121.42857142858</v>
      </c>
      <c r="T26" s="474">
        <f>IF($E$4="",0,IF($S26=0,0,VLOOKUP($S26,'3-1.標準報酬月額・保険料表'!$N$8:$O$57,2,TRUE)))</f>
        <v>142000</v>
      </c>
      <c r="U26" s="473">
        <f t="shared" si="4"/>
        <v>0</v>
      </c>
      <c r="V26" s="461">
        <f t="shared" si="5"/>
        <v>0</v>
      </c>
      <c r="W26" s="187">
        <f t="shared" si="6"/>
        <v>117321.42857142858</v>
      </c>
      <c r="X26" s="61">
        <f>IF($E$4="",0,IF($I26&lt;20,0,IF($X$13="",0,IF($X$13=2,0,IF($W26&lt;$Y$13,0,IF($T26&lt;=620000,VLOOKUP($T26,'3-1.標準報酬月額・保険料表'!$D$8:$L$42,9,FALSE),'3-1.標準報酬月額・保険料表'!$L$42)+ROUNDDOWN($V26*$AD$7,0))))))</f>
        <v>12993</v>
      </c>
      <c r="Y26" s="50">
        <f>IF($E$4="",0,IF($I26&lt;20,0,IF($U$9="",0,IF($X$13=2,0,IF($E$10&gt;=$Z$13,0,IF($W26&lt;$Y$13,0,VLOOKUP($T26,'3-1.標準報酬月額・保険料表'!$D$8:$J$57,6,FALSE)+ROUNDDOWN($V26*$AA$7,0)))))))</f>
        <v>7305.9000000000005</v>
      </c>
      <c r="Z26" s="50">
        <f>IF($E$4="",0,IF($I26&lt;20,0,IF($X$13="",0,IF($X$13=2,0,IF($E$10&lt;$Z$13,0,IF($W26&lt;$Y$13,0,VLOOKUP($T26,'3-1.標準報酬月額・保険料表'!$D$8:$J$57,7,FALSE)+ROUNDDOWN($V26*$AB$7,0)))))))</f>
        <v>0</v>
      </c>
      <c r="AA26" s="66">
        <f t="shared" si="21"/>
        <v>20298.900000000001</v>
      </c>
      <c r="AB26" s="71">
        <f>IF($E$4="",0,IF($AB$13="",0,IF($AB$13=1,0,IF($I26&lt;$AD$13,0,IF($N26&lt;$AC$13,0,IF($T26&lt;=620000,VLOOKUP($T26,'3-1.標準報酬月額・保険料表'!$D$8:$L$42,9,FALSE),'3-1.標準報酬月額・保険料表'!$L$42)+ROUNDDOWN($V26*$AD$7,0))))))</f>
        <v>0</v>
      </c>
      <c r="AC26" s="72">
        <f>IF($E$4="",0,IF($AB$13="",0,IF($AB$13=1,0,IF($I26&lt;$AD$13,0,IF($N26&lt;$AC$13,0,IF($E$10&gt;=$AE$13,0,VLOOKUP($T26,'3-1.標準報酬月額・保険料表'!$D$8:$J$57,6,FALSE)+ROUNDDOWN($V26*$AA$7,0)))))))</f>
        <v>0</v>
      </c>
      <c r="AD26" s="72">
        <f>IF($E$4="",0,IF($AB$13="",0,IF($AB$13=1,0,IF($I26&lt;$AD$13,0,IF($N26&lt;$AC$13,0,IF($E$10&lt;$AE$13,0,VLOOKUP($T26,'3-1.標準報酬月額・保険料表'!$D$8:$J$57,7,FALSE)+ROUNDDOWN($V26*$AB$7,0)))))))</f>
        <v>0</v>
      </c>
      <c r="AE26" s="73">
        <f t="shared" si="22"/>
        <v>0</v>
      </c>
      <c r="AF26" s="63">
        <f t="shared" si="7"/>
        <v>10124.742857142857</v>
      </c>
      <c r="AG26" s="68">
        <f t="shared" si="23"/>
        <v>253711.54285714286</v>
      </c>
      <c r="AH26" s="152">
        <f>IF($E$4="","",VLOOKUP($N26,'3-2.所得算出参照表'!K$5:L$10,2,TRUE))</f>
        <v>1800000</v>
      </c>
      <c r="AI26" s="153">
        <f>IF($AH26="",0,IF($AH26='3-2.所得算出参照表'!$B$5,'3-2.所得算出参照表'!$E$5,IF('4-1.手当等支給メニュー'!$AH26='3-2.所得算出参照表'!$B$6,'4-1.手当等支給メニュー'!$N26*'3-2.所得算出参照表'!$E$6+'3-2.所得算出参照表'!$G$6,IF('4-1.手当等支給メニュー'!$AH26='3-2.所得算出参照表'!$B$7,'4-1.手当等支給メニュー'!$N26*'3-2.所得算出参照表'!$E$7+'3-2.所得算出参照表'!$G$7,IF('4-1.手当等支給メニュー'!$AH26='3-2.所得算出参照表'!$B$8,'4-1.手当等支給メニュー'!$N26*'3-2.所得算出参照表'!$E$8+'3-2.所得算出参照表'!$G$8,IF('4-1.手当等支給メニュー'!$AH26='3-2.所得算出参照表'!$B$9,'4-1.手当等支給メニュー'!$N26*'3-2.所得算出参照表'!$E$9+'3-2.所得算出参照表'!$G$9,IF($AH26='3-2.所得算出参照表'!$B$10,'3-2.所得算出参照表'!$G$10)))))))</f>
        <v>574982.85714285728</v>
      </c>
      <c r="AJ26" s="115">
        <f t="shared" si="8"/>
        <v>480000</v>
      </c>
      <c r="AK26" s="110">
        <f t="shared" si="9"/>
        <v>378000</v>
      </c>
      <c r="AL26" s="155">
        <f>VLOOKUP($AK26,'3-2.所得算出参照表'!$N$4:$O$11,2,TRUE)</f>
        <v>0.05</v>
      </c>
      <c r="AM26" s="110">
        <f>VLOOKUP($AK26,'3-2.所得算出参照表'!$P$4:$Q$11,2,TRUE)</f>
        <v>0</v>
      </c>
      <c r="AN26" s="110">
        <f t="shared" si="24"/>
        <v>18900</v>
      </c>
      <c r="AO26" s="110">
        <f>$AN26*'3-2.所得算出参照表'!$D$14</f>
        <v>396.90000000000003</v>
      </c>
      <c r="AP26" s="124">
        <f t="shared" si="25"/>
        <v>19200</v>
      </c>
      <c r="AQ26" s="132">
        <f>IF($AH26="",0,IF($AH26='3-2.所得算出参照表'!$B$5,'3-2.所得算出参照表'!$E$5,IF('4-1.手当等支給メニュー'!$AH26='3-2.所得算出参照表'!$B$6,'4-1.手当等支給メニュー'!$N26*'3-2.所得算出参照表'!$E$6+'3-2.所得算出参照表'!$G$6,IF('4-1.手当等支給メニュー'!$AH26='3-2.所得算出参照表'!$B$7,'4-1.手当等支給メニュー'!$N26*'3-2.所得算出参照表'!$E$7+'3-2.所得算出参照表'!$G$7,IF('4-1.手当等支給メニュー'!$AH26='3-2.所得算出参照表'!$B$8,'4-1.手当等支給メニュー'!$N26*'3-2.所得算出参照表'!$E$8+'3-2.所得算出参照表'!$G$8,IF('4-1.手当等支給メニュー'!$AH26='3-2.所得算出参照表'!$B$9,'4-1.手当等支給メニュー'!$N26*'3-2.所得算出参照表'!$E$9+'3-2.所得算出参照表'!$G$9,IF($AH26='3-2.所得算出参照表'!$B$10,'3-2.所得算出参照表'!$G$10)))))))</f>
        <v>574982.85714285728</v>
      </c>
      <c r="AR26" s="72">
        <f t="shared" si="10"/>
        <v>430000</v>
      </c>
      <c r="AS26" s="120">
        <f t="shared" si="11"/>
        <v>428000</v>
      </c>
      <c r="AT26" s="120">
        <f t="shared" si="12"/>
        <v>5500</v>
      </c>
      <c r="AU26" s="121">
        <f t="shared" si="13"/>
        <v>0.1</v>
      </c>
      <c r="AV26" s="128">
        <f t="shared" si="26"/>
        <v>45800</v>
      </c>
      <c r="AW26" s="145">
        <f t="shared" si="14"/>
        <v>1368745.6</v>
      </c>
    </row>
    <row r="27" spans="2:49" ht="21.95" customHeight="1" x14ac:dyDescent="0.15">
      <c r="B27" s="101">
        <v>13</v>
      </c>
      <c r="C27" s="103">
        <f t="shared" si="0"/>
        <v>1000</v>
      </c>
      <c r="D27" s="454">
        <f t="shared" si="1"/>
        <v>88</v>
      </c>
      <c r="E27" s="468">
        <f>IF($E$4="","",IF(AND($I27&gt;=20,$D27=88,'4-1.参照シートー２'!$R27&lt;=104000),($P27+$V27)*$G$12,0))</f>
        <v>0</v>
      </c>
      <c r="F27" s="503">
        <f>IF('4-1.参照シートー２'!$G27="","",'4-1.参照シートー２'!$G27)</f>
        <v>22500</v>
      </c>
      <c r="G27" s="469">
        <f>IF($E$4="","",IF(AND($I27&gt;=20,$D27=88,$R27&gt;104000),('4-1.参照シートー２'!$R27+$V27)*$G$12,0))</f>
        <v>22500</v>
      </c>
      <c r="H27" s="447">
        <f t="shared" si="27"/>
        <v>12</v>
      </c>
      <c r="I27" s="85">
        <f t="shared" si="28"/>
        <v>28</v>
      </c>
      <c r="J27" s="198">
        <f t="shared" si="2"/>
        <v>1460</v>
      </c>
      <c r="K27" s="383">
        <f t="shared" si="15"/>
        <v>121666.66666666667</v>
      </c>
      <c r="L27" s="198">
        <f t="shared" si="16"/>
        <v>144166.66666666669</v>
      </c>
      <c r="M27" s="458">
        <f t="shared" si="17"/>
        <v>146166.66666666669</v>
      </c>
      <c r="N27" s="98">
        <f t="shared" si="18"/>
        <v>1754000.0000000002</v>
      </c>
      <c r="O27" s="517">
        <f t="shared" si="19"/>
        <v>126166.66666666667</v>
      </c>
      <c r="P27" s="514">
        <f>IF($E$4="",0,IF($O27=0,0,VLOOKUP($O27,'3-1.標準報酬月額・保険料表'!$N$8:$O$57,2,TRUE)))</f>
        <v>126000</v>
      </c>
      <c r="Q27" s="515">
        <f t="shared" si="3"/>
        <v>148666.66666666669</v>
      </c>
      <c r="R27" s="518">
        <f>IF($E$4="",0,IF($Q27=0,0,VLOOKUP($Q27,'3-1.標準報酬月額・保険料表'!$N$8:$O$57,2,TRUE)))</f>
        <v>150000</v>
      </c>
      <c r="S27" s="381">
        <f t="shared" si="20"/>
        <v>148666.66666666669</v>
      </c>
      <c r="T27" s="474">
        <f>IF($E$4="",0,IF($S27=0,0,VLOOKUP($S27,'3-1.標準報酬月額・保険料表'!$N$8:$O$57,2,TRUE)))</f>
        <v>150000</v>
      </c>
      <c r="U27" s="473">
        <f t="shared" si="4"/>
        <v>0</v>
      </c>
      <c r="V27" s="461">
        <f t="shared" si="5"/>
        <v>0</v>
      </c>
      <c r="W27" s="187">
        <f t="shared" si="6"/>
        <v>121666.66666666667</v>
      </c>
      <c r="X27" s="61">
        <f>IF($E$4="",0,IF($I27&lt;20,0,IF($X$13="",0,IF($X$13=2,0,IF($W27&lt;$Y$13,0,IF($T27&lt;=620000,VLOOKUP($T27,'3-1.標準報酬月額・保険料表'!$D$8:$L$42,9,FALSE),'3-1.標準報酬月額・保険料表'!$L$42)+ROUNDDOWN($V27*$AD$7,0))))))</f>
        <v>13725</v>
      </c>
      <c r="Y27" s="50">
        <f>IF($E$4="",0,IF($I27&lt;20,0,IF($U$9="",0,IF($X$13=2,0,IF($E$10&gt;=$Z$13,0,IF($W27&lt;$Y$13,0,VLOOKUP($T27,'3-1.標準報酬月額・保険料表'!$D$8:$J$57,6,FALSE)+ROUNDDOWN($V27*$AA$7,0)))))))</f>
        <v>7717.5</v>
      </c>
      <c r="Z27" s="50">
        <f>IF($E$4="",0,IF($I27&lt;20,0,IF($X$13="",0,IF($X$13=2,0,IF($E$10&lt;$Z$13,0,IF($W27&lt;$Y$13,0,VLOOKUP($T27,'3-1.標準報酬月額・保険料表'!$D$8:$J$57,7,FALSE)+ROUNDDOWN($V27*$AB$7,0)))))))</f>
        <v>0</v>
      </c>
      <c r="AA27" s="66">
        <f t="shared" si="21"/>
        <v>21442.5</v>
      </c>
      <c r="AB27" s="71">
        <f>IF($E$4="",0,IF($AB$13="",0,IF($AB$13=1,0,IF($I27&lt;$AD$13,0,IF($N27&lt;$AC$13,0,IF($T27&lt;=620000,VLOOKUP($T27,'3-1.標準報酬月額・保険料表'!$D$8:$L$42,9,FALSE),'3-1.標準報酬月額・保険料表'!$L$42)+ROUNDDOWN($V27*$AD$7,0))))))</f>
        <v>0</v>
      </c>
      <c r="AC27" s="72">
        <f>IF($E$4="",0,IF($AB$13="",0,IF($AB$13=1,0,IF($I27&lt;$AD$13,0,IF($N27&lt;$AC$13,0,IF($E$10&gt;=$AE$13,0,VLOOKUP($T27,'3-1.標準報酬月額・保険料表'!$D$8:$J$57,6,FALSE)+ROUNDDOWN($V27*$AA$7,0)))))))</f>
        <v>0</v>
      </c>
      <c r="AD27" s="72">
        <f>IF($E$4="",0,IF($AB$13="",0,IF($AB$13=1,0,IF($I27&lt;$AD$13,0,IF($N27&lt;$AC$13,0,IF($E$10&lt;$AE$13,0,VLOOKUP($T27,'3-1.標準報酬月額・保険料表'!$D$8:$J$57,7,FALSE)+ROUNDDOWN($V27*$AB$7,0)))))))</f>
        <v>0</v>
      </c>
      <c r="AE27" s="73">
        <f t="shared" si="22"/>
        <v>0</v>
      </c>
      <c r="AF27" s="63">
        <f t="shared" si="7"/>
        <v>10524.000000000002</v>
      </c>
      <c r="AG27" s="68">
        <f t="shared" si="23"/>
        <v>267834</v>
      </c>
      <c r="AH27" s="152">
        <f>IF($E$4="","",VLOOKUP($N27,'3-2.所得算出参照表'!K$5:L$10,2,TRUE))</f>
        <v>1800000</v>
      </c>
      <c r="AI27" s="153">
        <f>IF($AH27="",0,IF($AH27='3-2.所得算出参照表'!$B$5,'3-2.所得算出参照表'!$E$5,IF('4-1.手当等支給メニュー'!$AH27='3-2.所得算出参照表'!$B$6,'4-1.手当等支給メニュー'!$N27*'3-2.所得算出参照表'!$E$6+'3-2.所得算出参照表'!$G$6,IF('4-1.手当等支給メニュー'!$AH27='3-2.所得算出参照表'!$B$7,'4-1.手当等支給メニュー'!$N27*'3-2.所得算出参照表'!$E$7+'3-2.所得算出参照表'!$G$7,IF('4-1.手当等支給メニュー'!$AH27='3-2.所得算出参照表'!$B$8,'4-1.手当等支給メニュー'!$N27*'3-2.所得算出参照表'!$E$8+'3-2.所得算出参照表'!$G$8,IF('4-1.手当等支給メニュー'!$AH27='3-2.所得算出参照表'!$B$9,'4-1.手当等支給メニュー'!$N27*'3-2.所得算出参照表'!$E$9+'3-2.所得算出参照表'!$G$9,IF($AH27='3-2.所得算出参照表'!$B$10,'3-2.所得算出参照表'!$G$10)))))))</f>
        <v>601600.00000000012</v>
      </c>
      <c r="AJ27" s="115">
        <f t="shared" si="8"/>
        <v>480000</v>
      </c>
      <c r="AK27" s="110">
        <f t="shared" si="9"/>
        <v>404000</v>
      </c>
      <c r="AL27" s="155">
        <f>VLOOKUP($AK27,'3-2.所得算出参照表'!$N$4:$O$11,2,TRUE)</f>
        <v>0.05</v>
      </c>
      <c r="AM27" s="110">
        <f>VLOOKUP($AK27,'3-2.所得算出参照表'!$P$4:$Q$11,2,TRUE)</f>
        <v>0</v>
      </c>
      <c r="AN27" s="110">
        <f t="shared" si="24"/>
        <v>20200</v>
      </c>
      <c r="AO27" s="110">
        <f>$AN27*'3-2.所得算出参照表'!$D$14</f>
        <v>424.20000000000005</v>
      </c>
      <c r="AP27" s="124">
        <f t="shared" si="25"/>
        <v>20600</v>
      </c>
      <c r="AQ27" s="132">
        <f>IF($AH27="",0,IF($AH27='3-2.所得算出参照表'!$B$5,'3-2.所得算出参照表'!$E$5,IF('4-1.手当等支給メニュー'!$AH27='3-2.所得算出参照表'!$B$6,'4-1.手当等支給メニュー'!$N27*'3-2.所得算出参照表'!$E$6+'3-2.所得算出参照表'!$G$6,IF('4-1.手当等支給メニュー'!$AH27='3-2.所得算出参照表'!$B$7,'4-1.手当等支給メニュー'!$N27*'3-2.所得算出参照表'!$E$7+'3-2.所得算出参照表'!$G$7,IF('4-1.手当等支給メニュー'!$AH27='3-2.所得算出参照表'!$B$8,'4-1.手当等支給メニュー'!$N27*'3-2.所得算出参照表'!$E$8+'3-2.所得算出参照表'!$G$8,IF('4-1.手当等支給メニュー'!$AH27='3-2.所得算出参照表'!$B$9,'4-1.手当等支給メニュー'!$N27*'3-2.所得算出参照表'!$E$9+'3-2.所得算出参照表'!$G$9,IF($AH27='3-2.所得算出参照表'!$B$10,'3-2.所得算出参照表'!$G$10)))))))</f>
        <v>601600.00000000012</v>
      </c>
      <c r="AR27" s="72">
        <f t="shared" si="10"/>
        <v>430000</v>
      </c>
      <c r="AS27" s="120">
        <f t="shared" si="11"/>
        <v>454000</v>
      </c>
      <c r="AT27" s="120">
        <f t="shared" si="12"/>
        <v>5500</v>
      </c>
      <c r="AU27" s="121">
        <f t="shared" si="13"/>
        <v>0.1</v>
      </c>
      <c r="AV27" s="128">
        <f t="shared" si="26"/>
        <v>48400</v>
      </c>
      <c r="AW27" s="145">
        <f t="shared" si="14"/>
        <v>1417166.0000000002</v>
      </c>
    </row>
    <row r="28" spans="2:49" ht="21.95" customHeight="1" x14ac:dyDescent="0.15">
      <c r="B28" s="101">
        <v>14</v>
      </c>
      <c r="C28" s="103">
        <f t="shared" si="0"/>
        <v>1000</v>
      </c>
      <c r="D28" s="454">
        <f t="shared" si="1"/>
        <v>88</v>
      </c>
      <c r="E28" s="468">
        <f>IF($E$4="","",IF(AND($I28&gt;=20,$D28=88,'4-1.参照シートー２'!$R28&lt;=104000),($P28+$V28)*$G$12,0))</f>
        <v>0</v>
      </c>
      <c r="F28" s="503">
        <f>IF('4-1.参照シートー２'!$G28="","",'4-1.参照シートー２'!$G28)</f>
        <v>22500</v>
      </c>
      <c r="G28" s="469">
        <f>IF($E$4="","",IF(AND($I28&gt;=20,$D28=88,$R28&gt;104000),('4-1.参照シートー２'!$R28+$V28)*$G$12,0))</f>
        <v>22500</v>
      </c>
      <c r="H28" s="447">
        <f t="shared" si="27"/>
        <v>13</v>
      </c>
      <c r="I28" s="85">
        <f t="shared" si="28"/>
        <v>29</v>
      </c>
      <c r="J28" s="198">
        <f t="shared" si="2"/>
        <v>1512.1428571428571</v>
      </c>
      <c r="K28" s="383">
        <f t="shared" si="15"/>
        <v>126011.90476190475</v>
      </c>
      <c r="L28" s="198">
        <f t="shared" si="16"/>
        <v>148511.90476190473</v>
      </c>
      <c r="M28" s="458">
        <f t="shared" si="17"/>
        <v>150511.90476190473</v>
      </c>
      <c r="N28" s="98">
        <f t="shared" si="18"/>
        <v>1806142.8571428568</v>
      </c>
      <c r="O28" s="517">
        <f t="shared" si="19"/>
        <v>130511.90476190475</v>
      </c>
      <c r="P28" s="514">
        <f>IF($E$4="",0,IF($O28=0,0,VLOOKUP($O28,'3-1.標準報酬月額・保険料表'!$N$8:$O$57,2,TRUE)))</f>
        <v>134000</v>
      </c>
      <c r="Q28" s="515">
        <f t="shared" si="3"/>
        <v>153011.90476190473</v>
      </c>
      <c r="R28" s="518">
        <f>IF($E$4="",0,IF($Q28=0,0,VLOOKUP($Q28,'3-1.標準報酬月額・保険料表'!$N$8:$O$57,2,TRUE)))</f>
        <v>150000</v>
      </c>
      <c r="S28" s="381">
        <f t="shared" si="20"/>
        <v>153011.90476190473</v>
      </c>
      <c r="T28" s="474">
        <f>IF($E$4="",0,IF($S28=0,0,VLOOKUP($S28,'3-1.標準報酬月額・保険料表'!$N$8:$O$57,2,TRUE)))</f>
        <v>150000</v>
      </c>
      <c r="U28" s="473">
        <f t="shared" si="4"/>
        <v>0</v>
      </c>
      <c r="V28" s="461">
        <f t="shared" si="5"/>
        <v>0</v>
      </c>
      <c r="W28" s="187">
        <f t="shared" si="6"/>
        <v>126011.90476190475</v>
      </c>
      <c r="X28" s="61">
        <f>IF($E$4="",0,IF($I28&lt;20,0,IF($X$13="",0,IF($X$13=2,0,IF($W28&lt;$Y$13,0,IF($T28&lt;=620000,VLOOKUP($T28,'3-1.標準報酬月額・保険料表'!$D$8:$L$42,9,FALSE),'3-1.標準報酬月額・保険料表'!$L$42)+ROUNDDOWN($V28*$AD$7,0))))))</f>
        <v>13725</v>
      </c>
      <c r="Y28" s="50">
        <f>IF($E$4="",0,IF($I28&lt;20,0,IF($U$9="",0,IF($X$13=2,0,IF($E$10&gt;=$Z$13,0,IF($W28&lt;$Y$13,0,VLOOKUP($T28,'3-1.標準報酬月額・保険料表'!$D$8:$J$57,6,FALSE)+ROUNDDOWN($V28*$AA$7,0)))))))</f>
        <v>7717.5</v>
      </c>
      <c r="Z28" s="50">
        <f>IF($E$4="",0,IF($I28&lt;20,0,IF($X$13="",0,IF($X$13=2,0,IF($E$10&lt;$Z$13,0,IF($W28&lt;$Y$13,0,VLOOKUP($T28,'3-1.標準報酬月額・保険料表'!$D$8:$J$57,7,FALSE)+ROUNDDOWN($V28*$AB$7,0)))))))</f>
        <v>0</v>
      </c>
      <c r="AA28" s="66">
        <f t="shared" si="21"/>
        <v>21442.5</v>
      </c>
      <c r="AB28" s="71">
        <f>IF($E$4="",0,IF($AB$13="",0,IF($AB$13=1,0,IF($I28&lt;$AD$13,0,IF($N28&lt;$AC$13,0,IF($T28&lt;=620000,VLOOKUP($T28,'3-1.標準報酬月額・保険料表'!$D$8:$L$42,9,FALSE),'3-1.標準報酬月額・保険料表'!$L$42)+ROUNDDOWN($V28*$AD$7,0))))))</f>
        <v>0</v>
      </c>
      <c r="AC28" s="72">
        <f>IF($E$4="",0,IF($AB$13="",0,IF($AB$13=1,0,IF($I28&lt;$AD$13,0,IF($N28&lt;$AC$13,0,IF($E$10&gt;=$AE$13,0,VLOOKUP($T28,'3-1.標準報酬月額・保険料表'!$D$8:$J$57,6,FALSE)+ROUNDDOWN($V28*$AA$7,0)))))))</f>
        <v>0</v>
      </c>
      <c r="AD28" s="72">
        <f>IF($E$4="",0,IF($AB$13="",0,IF($AB$13=1,0,IF($I28&lt;$AD$13,0,IF($N28&lt;$AC$13,0,IF($E$10&lt;$AE$13,0,VLOOKUP($T28,'3-1.標準報酬月額・保険料表'!$D$8:$J$57,7,FALSE)+ROUNDDOWN($V28*$AB$7,0)))))))</f>
        <v>0</v>
      </c>
      <c r="AE28" s="73">
        <f t="shared" si="22"/>
        <v>0</v>
      </c>
      <c r="AF28" s="63">
        <f t="shared" si="7"/>
        <v>10836.857142857141</v>
      </c>
      <c r="AG28" s="68">
        <f t="shared" si="23"/>
        <v>268146.85714285716</v>
      </c>
      <c r="AH28" s="152">
        <f>IF($E$4="","",VLOOKUP($N28,'3-2.所得算出参照表'!K$5:L$10,2,TRUE))</f>
        <v>3600000</v>
      </c>
      <c r="AI28" s="153">
        <f>IF($AH28="",0,IF($AH28='3-2.所得算出参照表'!$B$5,'3-2.所得算出参照表'!$E$5,IF('4-1.手当等支給メニュー'!$AH28='3-2.所得算出参照表'!$B$6,'4-1.手当等支給メニュー'!$N28*'3-2.所得算出参照表'!$E$6+'3-2.所得算出参照表'!$G$6,IF('4-1.手当等支給メニュー'!$AH28='3-2.所得算出参照表'!$B$7,'4-1.手当等支給メニュー'!$N28*'3-2.所得算出参照表'!$E$7+'3-2.所得算出参照表'!$G$7,IF('4-1.手当等支給メニュー'!$AH28='3-2.所得算出参照表'!$B$8,'4-1.手当等支給メニュー'!$N28*'3-2.所得算出参照表'!$E$8+'3-2.所得算出参照表'!$G$8,IF('4-1.手当等支給メニュー'!$AH28='3-2.所得算出参照表'!$B$9,'4-1.手当等支給メニュー'!$N28*'3-2.所得算出参照表'!$E$9+'3-2.所得算出参照表'!$G$9,IF($AH28='3-2.所得算出参照表'!$B$10,'3-2.所得算出参照表'!$G$10)))))))</f>
        <v>621842.85714285704</v>
      </c>
      <c r="AJ28" s="115">
        <f t="shared" si="8"/>
        <v>480000</v>
      </c>
      <c r="AK28" s="110">
        <f t="shared" si="9"/>
        <v>436000</v>
      </c>
      <c r="AL28" s="155">
        <f>VLOOKUP($AK28,'3-2.所得算出参照表'!$N$4:$O$11,2,TRUE)</f>
        <v>0.05</v>
      </c>
      <c r="AM28" s="110">
        <f>VLOOKUP($AK28,'3-2.所得算出参照表'!$P$4:$Q$11,2,TRUE)</f>
        <v>0</v>
      </c>
      <c r="AN28" s="110">
        <f t="shared" si="24"/>
        <v>21800</v>
      </c>
      <c r="AO28" s="110">
        <f>$AN28*'3-2.所得算出参照表'!$D$14</f>
        <v>457.8</v>
      </c>
      <c r="AP28" s="124">
        <f t="shared" si="25"/>
        <v>22200</v>
      </c>
      <c r="AQ28" s="132">
        <f>IF($AH28="",0,IF($AH28='3-2.所得算出参照表'!$B$5,'3-2.所得算出参照表'!$E$5,IF('4-1.手当等支給メニュー'!$AH28='3-2.所得算出参照表'!$B$6,'4-1.手当等支給メニュー'!$N28*'3-2.所得算出参照表'!$E$6+'3-2.所得算出参照表'!$G$6,IF('4-1.手当等支給メニュー'!$AH28='3-2.所得算出参照表'!$B$7,'4-1.手当等支給メニュー'!$N28*'3-2.所得算出参照表'!$E$7+'3-2.所得算出参照表'!$G$7,IF('4-1.手当等支給メニュー'!$AH28='3-2.所得算出参照表'!$B$8,'4-1.手当等支給メニュー'!$N28*'3-2.所得算出参照表'!$E$8+'3-2.所得算出参照表'!$G$8,IF('4-1.手当等支給メニュー'!$AH28='3-2.所得算出参照表'!$B$9,'4-1.手当等支給メニュー'!$N28*'3-2.所得算出参照表'!$E$9+'3-2.所得算出参照表'!$G$9,IF($AH28='3-2.所得算出参照表'!$B$10,'3-2.所得算出参照表'!$G$10)))))))</f>
        <v>621842.85714285704</v>
      </c>
      <c r="AR28" s="72">
        <f t="shared" si="10"/>
        <v>430000</v>
      </c>
      <c r="AS28" s="120">
        <f t="shared" si="11"/>
        <v>486000</v>
      </c>
      <c r="AT28" s="120">
        <f t="shared" si="12"/>
        <v>5500</v>
      </c>
      <c r="AU28" s="121">
        <f t="shared" si="13"/>
        <v>0.1</v>
      </c>
      <c r="AV28" s="128">
        <f t="shared" si="26"/>
        <v>51600</v>
      </c>
      <c r="AW28" s="145">
        <f t="shared" si="14"/>
        <v>1464195.9999999995</v>
      </c>
    </row>
    <row r="29" spans="2:49" ht="21.95" customHeight="1" x14ac:dyDescent="0.15">
      <c r="B29" s="101">
        <v>15</v>
      </c>
      <c r="C29" s="103">
        <f t="shared" si="0"/>
        <v>1000</v>
      </c>
      <c r="D29" s="454">
        <f t="shared" si="1"/>
        <v>88</v>
      </c>
      <c r="E29" s="468">
        <f>IF($E$4="","",IF(AND($I29&gt;=20,$D29=88,'4-1.参照シートー２'!$R29&lt;=104000),($P29+$V29)*$G$12,0))</f>
        <v>0</v>
      </c>
      <c r="F29" s="503">
        <f>IF('4-1.参照シートー２'!$G29="","",'4-1.参照シートー２'!$G29)</f>
        <v>24000</v>
      </c>
      <c r="G29" s="469">
        <f>IF($E$4="","",IF(AND($I29&gt;=20,$D29=88,$R29&gt;104000),('4-1.参照シートー２'!$R29+$V29)*$G$12,0))</f>
        <v>24000</v>
      </c>
      <c r="H29" s="447">
        <f t="shared" si="27"/>
        <v>14</v>
      </c>
      <c r="I29" s="85">
        <f t="shared" si="28"/>
        <v>30</v>
      </c>
      <c r="J29" s="198">
        <f t="shared" si="2"/>
        <v>1564.2857142857142</v>
      </c>
      <c r="K29" s="383">
        <f t="shared" si="15"/>
        <v>130357.14285714286</v>
      </c>
      <c r="L29" s="198">
        <f t="shared" si="16"/>
        <v>154357.14285714284</v>
      </c>
      <c r="M29" s="458">
        <f t="shared" si="17"/>
        <v>156357.14285714284</v>
      </c>
      <c r="N29" s="98">
        <f t="shared" si="18"/>
        <v>1876285.7142857141</v>
      </c>
      <c r="O29" s="517">
        <f t="shared" si="19"/>
        <v>134857.14285714284</v>
      </c>
      <c r="P29" s="514">
        <f>IF($E$4="",0,IF($O29=0,0,VLOOKUP($O29,'3-1.標準報酬月額・保険料表'!$N$8:$O$57,2,TRUE)))</f>
        <v>134000</v>
      </c>
      <c r="Q29" s="515">
        <f t="shared" si="3"/>
        <v>158857.14285714284</v>
      </c>
      <c r="R29" s="518">
        <f>IF($E$4="",0,IF($Q29=0,0,VLOOKUP($Q29,'3-1.標準報酬月額・保険料表'!$N$8:$O$57,2,TRUE)))</f>
        <v>160000</v>
      </c>
      <c r="S29" s="381">
        <f t="shared" si="20"/>
        <v>158857.14285714284</v>
      </c>
      <c r="T29" s="474">
        <f>IF($E$4="",0,IF($S29=0,0,VLOOKUP($S29,'3-1.標準報酬月額・保険料表'!$N$8:$O$57,2,TRUE)))</f>
        <v>160000</v>
      </c>
      <c r="U29" s="473">
        <f t="shared" si="4"/>
        <v>0</v>
      </c>
      <c r="V29" s="461">
        <f t="shared" si="5"/>
        <v>0</v>
      </c>
      <c r="W29" s="187">
        <f t="shared" si="6"/>
        <v>130357.14285714286</v>
      </c>
      <c r="X29" s="61">
        <f>IF($E$4="",0,IF($I29&lt;20,0,IF($X$13="",0,IF($X$13=2,0,IF($W29&lt;$Y$13,0,IF($T29&lt;=620000,VLOOKUP($T29,'3-1.標準報酬月額・保険料表'!$D$8:$L$42,9,FALSE),'3-1.標準報酬月額・保険料表'!$L$42)+ROUNDDOWN($V29*$AD$7,0))))))</f>
        <v>14640</v>
      </c>
      <c r="Y29" s="50">
        <f>IF($E$4="",0,IF($I29&lt;20,0,IF($U$9="",0,IF($X$13=2,0,IF($E$10&gt;=$Z$13,0,IF($W29&lt;$Y$13,0,VLOOKUP($T29,'3-1.標準報酬月額・保険料表'!$D$8:$J$57,6,FALSE)+ROUNDDOWN($V29*$AA$7,0)))))))</f>
        <v>8232</v>
      </c>
      <c r="Z29" s="50">
        <f>IF($E$4="",0,IF($I29&lt;20,0,IF($X$13="",0,IF($X$13=2,0,IF($E$10&lt;$Z$13,0,IF($W29&lt;$Y$13,0,VLOOKUP($T29,'3-1.標準報酬月額・保険料表'!$D$8:$J$57,7,FALSE)+ROUNDDOWN($V29*$AB$7,0)))))))</f>
        <v>0</v>
      </c>
      <c r="AA29" s="66">
        <f t="shared" si="21"/>
        <v>22872</v>
      </c>
      <c r="AB29" s="71">
        <f>IF($E$4="",0,IF($AB$13="",0,IF($AB$13=1,0,IF($I29&lt;$AD$13,0,IF($N29&lt;$AC$13,0,IF($T29&lt;=620000,VLOOKUP($T29,'3-1.標準報酬月額・保険料表'!$D$8:$L$42,9,FALSE),'3-1.標準報酬月額・保険料表'!$L$42)+ROUNDDOWN($V29*$AD$7,0))))))</f>
        <v>0</v>
      </c>
      <c r="AC29" s="72">
        <f>IF($E$4="",0,IF($AB$13="",0,IF($AB$13=1,0,IF($I29&lt;$AD$13,0,IF($N29&lt;$AC$13,0,IF($E$10&gt;=$AE$13,0,VLOOKUP($T29,'3-1.標準報酬月額・保険料表'!$D$8:$J$57,6,FALSE)+ROUNDDOWN($V29*$AA$7,0)))))))</f>
        <v>0</v>
      </c>
      <c r="AD29" s="72">
        <f>IF($E$4="",0,IF($AB$13="",0,IF($AB$13=1,0,IF($I29&lt;$AD$13,0,IF($N29&lt;$AC$13,0,IF($E$10&lt;$AE$13,0,VLOOKUP($T29,'3-1.標準報酬月額・保険料表'!$D$8:$J$57,7,FALSE)+ROUNDDOWN($V29*$AB$7,0)))))))</f>
        <v>0</v>
      </c>
      <c r="AE29" s="73">
        <f t="shared" si="22"/>
        <v>0</v>
      </c>
      <c r="AF29" s="63">
        <f t="shared" si="7"/>
        <v>11257.714285714284</v>
      </c>
      <c r="AG29" s="68">
        <f t="shared" si="23"/>
        <v>285721.71428571426</v>
      </c>
      <c r="AH29" s="152">
        <f>IF($E$4="","",VLOOKUP($N29,'3-2.所得算出参照表'!K$5:L$10,2,TRUE))</f>
        <v>3600000</v>
      </c>
      <c r="AI29" s="153">
        <f>IF($AH29="",0,IF($AH29='3-2.所得算出参照表'!$B$5,'3-2.所得算出参照表'!$E$5,IF('4-1.手当等支給メニュー'!$AH29='3-2.所得算出参照表'!$B$6,'4-1.手当等支給メニュー'!$N29*'3-2.所得算出参照表'!$E$6+'3-2.所得算出参照表'!$G$6,IF('4-1.手当等支給メニュー'!$AH29='3-2.所得算出参照表'!$B$7,'4-1.手当等支給メニュー'!$N29*'3-2.所得算出参照表'!$E$7+'3-2.所得算出参照表'!$G$7,IF('4-1.手当等支給メニュー'!$AH29='3-2.所得算出参照表'!$B$8,'4-1.手当等支給メニュー'!$N29*'3-2.所得算出参照表'!$E$8+'3-2.所得算出参照表'!$G$8,IF('4-1.手当等支給メニュー'!$AH29='3-2.所得算出参照表'!$B$9,'4-1.手当等支給メニュー'!$N29*'3-2.所得算出参照表'!$E$9+'3-2.所得算出参照表'!$G$9,IF($AH29='3-2.所得算出参照表'!$B$10,'3-2.所得算出参照表'!$G$10)))))))</f>
        <v>642885.7142857142</v>
      </c>
      <c r="AJ29" s="115">
        <f t="shared" si="8"/>
        <v>480000</v>
      </c>
      <c r="AK29" s="110">
        <f t="shared" si="9"/>
        <v>467000</v>
      </c>
      <c r="AL29" s="155">
        <f>VLOOKUP($AK29,'3-2.所得算出参照表'!$N$4:$O$11,2,TRUE)</f>
        <v>0.05</v>
      </c>
      <c r="AM29" s="110">
        <f>VLOOKUP($AK29,'3-2.所得算出参照表'!$P$4:$Q$11,2,TRUE)</f>
        <v>0</v>
      </c>
      <c r="AN29" s="110">
        <f t="shared" si="24"/>
        <v>23350</v>
      </c>
      <c r="AO29" s="110">
        <f>$AN29*'3-2.所得算出参照表'!$D$14</f>
        <v>490.35</v>
      </c>
      <c r="AP29" s="124">
        <f t="shared" si="25"/>
        <v>23800</v>
      </c>
      <c r="AQ29" s="132">
        <f>IF($AH29="",0,IF($AH29='3-2.所得算出参照表'!$B$5,'3-2.所得算出参照表'!$E$5,IF('4-1.手当等支給メニュー'!$AH29='3-2.所得算出参照表'!$B$6,'4-1.手当等支給メニュー'!$N29*'3-2.所得算出参照表'!$E$6+'3-2.所得算出参照表'!$G$6,IF('4-1.手当等支給メニュー'!$AH29='3-2.所得算出参照表'!$B$7,'4-1.手当等支給メニュー'!$N29*'3-2.所得算出参照表'!$E$7+'3-2.所得算出参照表'!$G$7,IF('4-1.手当等支給メニュー'!$AH29='3-2.所得算出参照表'!$B$8,'4-1.手当等支給メニュー'!$N29*'3-2.所得算出参照表'!$E$8+'3-2.所得算出参照表'!$G$8,IF('4-1.手当等支給メニュー'!$AH29='3-2.所得算出参照表'!$B$9,'4-1.手当等支給メニュー'!$N29*'3-2.所得算出参照表'!$E$9+'3-2.所得算出参照表'!$G$9,IF($AH29='3-2.所得算出参照表'!$B$10,'3-2.所得算出参照表'!$G$10)))))))</f>
        <v>642885.7142857142</v>
      </c>
      <c r="AR29" s="72">
        <f t="shared" si="10"/>
        <v>430000</v>
      </c>
      <c r="AS29" s="120">
        <f t="shared" si="11"/>
        <v>517000</v>
      </c>
      <c r="AT29" s="120">
        <f t="shared" si="12"/>
        <v>5500</v>
      </c>
      <c r="AU29" s="121">
        <f t="shared" si="13"/>
        <v>0.1</v>
      </c>
      <c r="AV29" s="128">
        <f t="shared" si="26"/>
        <v>54700</v>
      </c>
      <c r="AW29" s="145">
        <f t="shared" si="14"/>
        <v>1512063.9999999998</v>
      </c>
    </row>
    <row r="30" spans="2:49" ht="21.95" customHeight="1" x14ac:dyDescent="0.15">
      <c r="B30" s="101">
        <v>16</v>
      </c>
      <c r="C30" s="103">
        <f t="shared" si="0"/>
        <v>1000</v>
      </c>
      <c r="D30" s="454">
        <f t="shared" si="1"/>
        <v>88</v>
      </c>
      <c r="E30" s="468">
        <f>IF($E$4="","",IF(AND($I30&gt;=20,$D30=88,'4-1.参照シートー２'!$R30&lt;=104000),($P30+$V30)*$G$12,0))</f>
        <v>0</v>
      </c>
      <c r="F30" s="503">
        <f>IF('4-1.参照シートー２'!$G30="","",'4-1.参照シートー２'!$G30)</f>
        <v>24000</v>
      </c>
      <c r="G30" s="469">
        <f>IF($E$4="","",IF(AND($I30&gt;=20,$D30=88,$R30&gt;104000),('4-1.参照シートー２'!$R30+$V30)*$G$12,0))</f>
        <v>24000</v>
      </c>
      <c r="H30" s="447">
        <f t="shared" si="27"/>
        <v>15</v>
      </c>
      <c r="I30" s="85">
        <f t="shared" si="28"/>
        <v>31</v>
      </c>
      <c r="J30" s="198">
        <f t="shared" si="2"/>
        <v>1616.4285714285713</v>
      </c>
      <c r="K30" s="383">
        <f t="shared" si="15"/>
        <v>134702.38095238095</v>
      </c>
      <c r="L30" s="198">
        <f t="shared" si="16"/>
        <v>158702.38095238095</v>
      </c>
      <c r="M30" s="458">
        <f t="shared" si="17"/>
        <v>160702.38095238095</v>
      </c>
      <c r="N30" s="98">
        <f t="shared" si="18"/>
        <v>1928428.5714285714</v>
      </c>
      <c r="O30" s="517">
        <f t="shared" si="19"/>
        <v>139202.38095238095</v>
      </c>
      <c r="P30" s="514">
        <f>IF($E$4="",0,IF($O30=0,0,VLOOKUP($O30,'3-1.標準報酬月額・保険料表'!$N$8:$O$57,2,TRUE)))</f>
        <v>142000</v>
      </c>
      <c r="Q30" s="515">
        <f t="shared" si="3"/>
        <v>163202.38095238095</v>
      </c>
      <c r="R30" s="518">
        <f>IF($E$4="",0,IF($Q30=0,0,VLOOKUP($Q30,'3-1.標準報酬月額・保険料表'!$N$8:$O$57,2,TRUE)))</f>
        <v>160000</v>
      </c>
      <c r="S30" s="381">
        <f t="shared" si="20"/>
        <v>163202.38095238095</v>
      </c>
      <c r="T30" s="474">
        <f>IF($E$4="",0,IF($S30=0,0,VLOOKUP($S30,'3-1.標準報酬月額・保険料表'!$N$8:$O$57,2,TRUE)))</f>
        <v>160000</v>
      </c>
      <c r="U30" s="473">
        <f t="shared" si="4"/>
        <v>0</v>
      </c>
      <c r="V30" s="461">
        <f t="shared" si="5"/>
        <v>0</v>
      </c>
      <c r="W30" s="187">
        <f t="shared" si="6"/>
        <v>134702.38095238095</v>
      </c>
      <c r="X30" s="61">
        <f>IF($E$4="",0,IF($I30&lt;20,0,IF($X$13="",0,IF($X$13=2,0,IF($W30&lt;$Y$13,0,IF($T30&lt;=620000,VLOOKUP($T30,'3-1.標準報酬月額・保険料表'!$D$8:$L$42,9,FALSE),'3-1.標準報酬月額・保険料表'!$L$42)+ROUNDDOWN($V30*$AD$7,0))))))</f>
        <v>14640</v>
      </c>
      <c r="Y30" s="50">
        <f>IF($E$4="",0,IF($I30&lt;20,0,IF($U$9="",0,IF($X$13=2,0,IF($E$10&gt;=$Z$13,0,IF($W30&lt;$Y$13,0,VLOOKUP($T30,'3-1.標準報酬月額・保険料表'!$D$8:$J$57,6,FALSE)+ROUNDDOWN($V30*$AA$7,0)))))))</f>
        <v>8232</v>
      </c>
      <c r="Z30" s="50">
        <f>IF($E$4="",0,IF($I30&lt;20,0,IF($X$13="",0,IF($X$13=2,0,IF($E$10&lt;$Z$13,0,IF($W30&lt;$Y$13,0,VLOOKUP($T30,'3-1.標準報酬月額・保険料表'!$D$8:$J$57,7,FALSE)+ROUNDDOWN($V30*$AB$7,0)))))))</f>
        <v>0</v>
      </c>
      <c r="AA30" s="66">
        <f t="shared" si="21"/>
        <v>22872</v>
      </c>
      <c r="AB30" s="71">
        <f>IF($E$4="",0,IF($AB$13="",0,IF($AB$13=1,0,IF($I30&lt;$AD$13,0,IF($N30&lt;$AC$13,0,IF($T30&lt;=620000,VLOOKUP($T30,'3-1.標準報酬月額・保険料表'!$D$8:$L$42,9,FALSE),'3-1.標準報酬月額・保険料表'!$L$42)+ROUNDDOWN($V30*$AD$7,0))))))</f>
        <v>0</v>
      </c>
      <c r="AC30" s="72">
        <f>IF($E$4="",0,IF($AB$13="",0,IF($AB$13=1,0,IF($I30&lt;$AD$13,0,IF($N30&lt;$AC$13,0,IF($E$10&gt;=$AE$13,0,VLOOKUP($T30,'3-1.標準報酬月額・保険料表'!$D$8:$J$57,6,FALSE)+ROUNDDOWN($V30*$AA$7,0)))))))</f>
        <v>0</v>
      </c>
      <c r="AD30" s="72">
        <f>IF($E$4="",0,IF($AB$13="",0,IF($AB$13=1,0,IF($I30&lt;$AD$13,0,IF($N30&lt;$AC$13,0,IF($E$10&lt;$AE$13,0,VLOOKUP($T30,'3-1.標準報酬月額・保険料表'!$D$8:$J$57,7,FALSE)+ROUNDDOWN($V30*$AB$7,0)))))))</f>
        <v>0</v>
      </c>
      <c r="AE30" s="73">
        <f t="shared" si="22"/>
        <v>0</v>
      </c>
      <c r="AF30" s="63">
        <f t="shared" si="7"/>
        <v>11570.571428571428</v>
      </c>
      <c r="AG30" s="68">
        <f t="shared" si="23"/>
        <v>286034.57142857142</v>
      </c>
      <c r="AH30" s="152">
        <f>IF($E$4="","",VLOOKUP($N30,'3-2.所得算出参照表'!K$5:L$10,2,TRUE))</f>
        <v>3600000</v>
      </c>
      <c r="AI30" s="153">
        <f>IF($AH30="",0,IF($AH30='3-2.所得算出参照表'!$B$5,'3-2.所得算出参照表'!$E$5,IF('4-1.手当等支給メニュー'!$AH30='3-2.所得算出参照表'!$B$6,'4-1.手当等支給メニュー'!$N30*'3-2.所得算出参照表'!$E$6+'3-2.所得算出参照表'!$G$6,IF('4-1.手当等支給メニュー'!$AH30='3-2.所得算出参照表'!$B$7,'4-1.手当等支給メニュー'!$N30*'3-2.所得算出参照表'!$E$7+'3-2.所得算出参照表'!$G$7,IF('4-1.手当等支給メニュー'!$AH30='3-2.所得算出参照表'!$B$8,'4-1.手当等支給メニュー'!$N30*'3-2.所得算出参照表'!$E$8+'3-2.所得算出参照表'!$G$8,IF('4-1.手当等支給メニュー'!$AH30='3-2.所得算出参照表'!$B$9,'4-1.手当等支給メニュー'!$N30*'3-2.所得算出参照表'!$E$9+'3-2.所得算出参照表'!$G$9,IF($AH30='3-2.所得算出参照表'!$B$10,'3-2.所得算出参照表'!$G$10)))))))</f>
        <v>658528.57142857136</v>
      </c>
      <c r="AJ30" s="115">
        <f t="shared" si="8"/>
        <v>480000</v>
      </c>
      <c r="AK30" s="110">
        <f t="shared" si="9"/>
        <v>503000</v>
      </c>
      <c r="AL30" s="155">
        <f>VLOOKUP($AK30,'3-2.所得算出参照表'!$N$4:$O$11,2,TRUE)</f>
        <v>0.05</v>
      </c>
      <c r="AM30" s="110">
        <f>VLOOKUP($AK30,'3-2.所得算出参照表'!$P$4:$Q$11,2,TRUE)</f>
        <v>0</v>
      </c>
      <c r="AN30" s="110">
        <f t="shared" si="24"/>
        <v>25150</v>
      </c>
      <c r="AO30" s="110">
        <f>$AN30*'3-2.所得算出参照表'!$D$14</f>
        <v>528.15</v>
      </c>
      <c r="AP30" s="124">
        <f t="shared" si="25"/>
        <v>25600</v>
      </c>
      <c r="AQ30" s="132">
        <f>IF($AH30="",0,IF($AH30='3-2.所得算出参照表'!$B$5,'3-2.所得算出参照表'!$E$5,IF('4-1.手当等支給メニュー'!$AH30='3-2.所得算出参照表'!$B$6,'4-1.手当等支給メニュー'!$N30*'3-2.所得算出参照表'!$E$6+'3-2.所得算出参照表'!$G$6,IF('4-1.手当等支給メニュー'!$AH30='3-2.所得算出参照表'!$B$7,'4-1.手当等支給メニュー'!$N30*'3-2.所得算出参照表'!$E$7+'3-2.所得算出参照表'!$G$7,IF('4-1.手当等支給メニュー'!$AH30='3-2.所得算出参照表'!$B$8,'4-1.手当等支給メニュー'!$N30*'3-2.所得算出参照表'!$E$8+'3-2.所得算出参照表'!$G$8,IF('4-1.手当等支給メニュー'!$AH30='3-2.所得算出参照表'!$B$9,'4-1.手当等支給メニュー'!$N30*'3-2.所得算出参照表'!$E$9+'3-2.所得算出参照表'!$G$9,IF($AH30='3-2.所得算出参照表'!$B$10,'3-2.所得算出参照表'!$G$10)))))))</f>
        <v>658528.57142857136</v>
      </c>
      <c r="AR30" s="72">
        <f t="shared" si="10"/>
        <v>430000</v>
      </c>
      <c r="AS30" s="120">
        <f t="shared" si="11"/>
        <v>553000</v>
      </c>
      <c r="AT30" s="120">
        <f t="shared" si="12"/>
        <v>5500</v>
      </c>
      <c r="AU30" s="121">
        <f t="shared" si="13"/>
        <v>0.1</v>
      </c>
      <c r="AV30" s="128">
        <f t="shared" si="26"/>
        <v>58300</v>
      </c>
      <c r="AW30" s="145">
        <f t="shared" si="14"/>
        <v>1558494</v>
      </c>
    </row>
    <row r="31" spans="2:49" ht="21.95" customHeight="1" x14ac:dyDescent="0.15">
      <c r="B31" s="101">
        <v>17</v>
      </c>
      <c r="C31" s="103">
        <f t="shared" si="0"/>
        <v>1000</v>
      </c>
      <c r="D31" s="454">
        <f t="shared" si="1"/>
        <v>88</v>
      </c>
      <c r="E31" s="468">
        <f>IF($E$4="","",IF(AND($I31&gt;=20,$D31=88,'4-1.参照シートー２'!$R31&lt;=104000),($P31+$V31)*$G$12,0))</f>
        <v>0</v>
      </c>
      <c r="F31" s="503">
        <f>IF('4-1.参照シートー２'!$G31="","",'4-1.参照シートー２'!$G31)</f>
        <v>25500</v>
      </c>
      <c r="G31" s="469">
        <f>IF($E$4="","",IF(AND($I31&gt;=20,$D31=88,$R31&gt;104000),('4-1.参照シートー２'!$R31+$V31)*$G$12,0))</f>
        <v>25500</v>
      </c>
      <c r="H31" s="447">
        <f t="shared" si="27"/>
        <v>16</v>
      </c>
      <c r="I31" s="85">
        <f t="shared" si="28"/>
        <v>32</v>
      </c>
      <c r="J31" s="198">
        <f t="shared" si="2"/>
        <v>1668.5714285714287</v>
      </c>
      <c r="K31" s="383">
        <f t="shared" si="15"/>
        <v>139047.61904761905</v>
      </c>
      <c r="L31" s="198">
        <f t="shared" si="16"/>
        <v>164547.61904761905</v>
      </c>
      <c r="M31" s="458">
        <f t="shared" si="17"/>
        <v>166547.61904761905</v>
      </c>
      <c r="N31" s="98">
        <f t="shared" si="18"/>
        <v>1998571.4285714286</v>
      </c>
      <c r="O31" s="517">
        <f t="shared" si="19"/>
        <v>143547.61904761905</v>
      </c>
      <c r="P31" s="514">
        <f>IF($E$4="",0,IF($O31=0,0,VLOOKUP($O31,'3-1.標準報酬月額・保険料表'!$N$8:$O$57,2,TRUE)))</f>
        <v>142000</v>
      </c>
      <c r="Q31" s="515">
        <f t="shared" si="3"/>
        <v>169047.61904761905</v>
      </c>
      <c r="R31" s="518">
        <f>IF($E$4="",0,IF($Q31=0,0,VLOOKUP($Q31,'3-1.標準報酬月額・保険料表'!$N$8:$O$57,2,TRUE)))</f>
        <v>170000</v>
      </c>
      <c r="S31" s="381">
        <f t="shared" si="20"/>
        <v>169047.61904761905</v>
      </c>
      <c r="T31" s="474">
        <f>IF($E$4="",0,IF($S31=0,0,VLOOKUP($S31,'3-1.標準報酬月額・保険料表'!$N$8:$O$57,2,TRUE)))</f>
        <v>170000</v>
      </c>
      <c r="U31" s="473">
        <f t="shared" si="4"/>
        <v>0</v>
      </c>
      <c r="V31" s="461">
        <f t="shared" si="5"/>
        <v>0</v>
      </c>
      <c r="W31" s="187">
        <f t="shared" si="6"/>
        <v>139047.61904761905</v>
      </c>
      <c r="X31" s="61">
        <f>IF($E$4="",0,IF($I31&lt;20,0,IF($X$13="",0,IF($X$13=2,0,IF($W31&lt;$Y$13,0,IF($T31&lt;=620000,VLOOKUP($T31,'3-1.標準報酬月額・保険料表'!$D$8:$L$42,9,FALSE),'3-1.標準報酬月額・保険料表'!$L$42)+ROUNDDOWN($V31*$AD$7,0))))))</f>
        <v>15555</v>
      </c>
      <c r="Y31" s="50">
        <f>IF($E$4="",0,IF($I31&lt;20,0,IF($U$9="",0,IF($X$13=2,0,IF($E$10&gt;=$Z$13,0,IF($W31&lt;$Y$13,0,VLOOKUP($T31,'3-1.標準報酬月額・保険料表'!$D$8:$J$57,6,FALSE)+ROUNDDOWN($V31*$AA$7,0)))))))</f>
        <v>8746.5</v>
      </c>
      <c r="Z31" s="50">
        <f>IF($E$4="",0,IF($I31&lt;20,0,IF($X$13="",0,IF($X$13=2,0,IF($E$10&lt;$Z$13,0,IF($W31&lt;$Y$13,0,VLOOKUP($T31,'3-1.標準報酬月額・保険料表'!$D$8:$J$57,7,FALSE)+ROUNDDOWN($V31*$AB$7,0)))))))</f>
        <v>0</v>
      </c>
      <c r="AA31" s="66">
        <f t="shared" si="21"/>
        <v>24301.5</v>
      </c>
      <c r="AB31" s="71">
        <f>IF($E$4="",0,IF($AB$13="",0,IF($AB$13=1,0,IF($I31&lt;$AD$13,0,IF($N31&lt;$AC$13,0,IF($T31&lt;=620000,VLOOKUP($T31,'3-1.標準報酬月額・保険料表'!$D$8:$L$42,9,FALSE),'3-1.標準報酬月額・保険料表'!$L$42)+ROUNDDOWN($V31*$AD$7,0))))))</f>
        <v>0</v>
      </c>
      <c r="AC31" s="72">
        <f>IF($E$4="",0,IF($AB$13="",0,IF($AB$13=1,0,IF($I31&lt;$AD$13,0,IF($N31&lt;$AC$13,0,IF($E$10&gt;=$AE$13,0,VLOOKUP($T31,'3-1.標準報酬月額・保険料表'!$D$8:$J$57,6,FALSE)+ROUNDDOWN($V31*$AA$7,0)))))))</f>
        <v>0</v>
      </c>
      <c r="AD31" s="72">
        <f>IF($E$4="",0,IF($AB$13="",0,IF($AB$13=1,0,IF($I31&lt;$AD$13,0,IF($N31&lt;$AC$13,0,IF($E$10&lt;$AE$13,0,VLOOKUP($T31,'3-1.標準報酬月額・保険料表'!$D$8:$J$57,7,FALSE)+ROUNDDOWN($V31*$AB$7,0)))))))</f>
        <v>0</v>
      </c>
      <c r="AE31" s="73">
        <f t="shared" si="22"/>
        <v>0</v>
      </c>
      <c r="AF31" s="63">
        <f t="shared" si="7"/>
        <v>11991.428571428572</v>
      </c>
      <c r="AG31" s="68">
        <f t="shared" si="23"/>
        <v>303609.42857142858</v>
      </c>
      <c r="AH31" s="152">
        <f>IF($E$4="","",VLOOKUP($N31,'3-2.所得算出参照表'!K$5:L$10,2,TRUE))</f>
        <v>3600000</v>
      </c>
      <c r="AI31" s="153">
        <f>IF($AH31="",0,IF($AH31='3-2.所得算出参照表'!$B$5,'3-2.所得算出参照表'!$E$5,IF('4-1.手当等支給メニュー'!$AH31='3-2.所得算出参照表'!$B$6,'4-1.手当等支給メニュー'!$N31*'3-2.所得算出参照表'!$E$6+'3-2.所得算出参照表'!$G$6,IF('4-1.手当等支給メニュー'!$AH31='3-2.所得算出参照表'!$B$7,'4-1.手当等支給メニュー'!$N31*'3-2.所得算出参照表'!$E$7+'3-2.所得算出参照表'!$G$7,IF('4-1.手当等支給メニュー'!$AH31='3-2.所得算出参照表'!$B$8,'4-1.手当等支給メニュー'!$N31*'3-2.所得算出参照表'!$E$8+'3-2.所得算出参照表'!$G$8,IF('4-1.手当等支給メニュー'!$AH31='3-2.所得算出参照表'!$B$9,'4-1.手当等支給メニュー'!$N31*'3-2.所得算出参照表'!$E$9+'3-2.所得算出参照表'!$G$9,IF($AH31='3-2.所得算出参照表'!$B$10,'3-2.所得算出参照表'!$G$10)))))))</f>
        <v>679571.42857142852</v>
      </c>
      <c r="AJ31" s="115">
        <f t="shared" si="8"/>
        <v>480000</v>
      </c>
      <c r="AK31" s="110">
        <f t="shared" si="9"/>
        <v>535000</v>
      </c>
      <c r="AL31" s="155">
        <f>VLOOKUP($AK31,'3-2.所得算出参照表'!$N$4:$O$11,2,TRUE)</f>
        <v>0.05</v>
      </c>
      <c r="AM31" s="110">
        <f>VLOOKUP($AK31,'3-2.所得算出参照表'!$P$4:$Q$11,2,TRUE)</f>
        <v>0</v>
      </c>
      <c r="AN31" s="110">
        <f t="shared" si="24"/>
        <v>26750</v>
      </c>
      <c r="AO31" s="110">
        <f>$AN31*'3-2.所得算出参照表'!$D$14</f>
        <v>561.75</v>
      </c>
      <c r="AP31" s="124">
        <f t="shared" si="25"/>
        <v>27300</v>
      </c>
      <c r="AQ31" s="132">
        <f>IF($AH31="",0,IF($AH31='3-2.所得算出参照表'!$B$5,'3-2.所得算出参照表'!$E$5,IF('4-1.手当等支給メニュー'!$AH31='3-2.所得算出参照表'!$B$6,'4-1.手当等支給メニュー'!$N31*'3-2.所得算出参照表'!$E$6+'3-2.所得算出参照表'!$G$6,IF('4-1.手当等支給メニュー'!$AH31='3-2.所得算出参照表'!$B$7,'4-1.手当等支給メニュー'!$N31*'3-2.所得算出参照表'!$E$7+'3-2.所得算出参照表'!$G$7,IF('4-1.手当等支給メニュー'!$AH31='3-2.所得算出参照表'!$B$8,'4-1.手当等支給メニュー'!$N31*'3-2.所得算出参照表'!$E$8+'3-2.所得算出参照表'!$G$8,IF('4-1.手当等支給メニュー'!$AH31='3-2.所得算出参照表'!$B$9,'4-1.手当等支給メニュー'!$N31*'3-2.所得算出参照表'!$E$9+'3-2.所得算出参照表'!$G$9,IF($AH31='3-2.所得算出参照表'!$B$10,'3-2.所得算出参照表'!$G$10)))))))</f>
        <v>679571.42857142852</v>
      </c>
      <c r="AR31" s="72">
        <f t="shared" si="10"/>
        <v>430000</v>
      </c>
      <c r="AS31" s="120">
        <f t="shared" si="11"/>
        <v>585000</v>
      </c>
      <c r="AT31" s="120">
        <f t="shared" si="12"/>
        <v>5500</v>
      </c>
      <c r="AU31" s="121">
        <f t="shared" si="13"/>
        <v>0.1</v>
      </c>
      <c r="AV31" s="128">
        <f t="shared" si="26"/>
        <v>61500</v>
      </c>
      <c r="AW31" s="145">
        <f t="shared" si="14"/>
        <v>1606162</v>
      </c>
    </row>
    <row r="32" spans="2:49" ht="21.95" customHeight="1" x14ac:dyDescent="0.15">
      <c r="B32" s="101">
        <v>18</v>
      </c>
      <c r="C32" s="103">
        <f t="shared" si="0"/>
        <v>1000</v>
      </c>
      <c r="D32" s="454">
        <f t="shared" si="1"/>
        <v>88</v>
      </c>
      <c r="E32" s="468">
        <f>IF($E$4="","",IF(AND($I32&gt;=20,$D32=88,'4-1.参照シートー２'!$R32&lt;=104000),($P32+$V32)*$G$12,0))</f>
        <v>0</v>
      </c>
      <c r="F32" s="503">
        <f>IF('4-1.参照シートー２'!$G32="","",'4-1.参照シートー２'!$G32)</f>
        <v>25500</v>
      </c>
      <c r="G32" s="469">
        <f>IF($E$4="","",IF(AND($I32&gt;=20,$D32=88,$R32&gt;104000),('4-1.参照シートー２'!$R32+$V32)*$G$12,0))</f>
        <v>25500</v>
      </c>
      <c r="H32" s="447">
        <f t="shared" si="27"/>
        <v>17</v>
      </c>
      <c r="I32" s="85">
        <f t="shared" si="28"/>
        <v>33</v>
      </c>
      <c r="J32" s="198">
        <f t="shared" si="2"/>
        <v>1720.7142857142858</v>
      </c>
      <c r="K32" s="383">
        <f t="shared" si="15"/>
        <v>143392.85714285713</v>
      </c>
      <c r="L32" s="198">
        <f t="shared" si="16"/>
        <v>168892.85714285713</v>
      </c>
      <c r="M32" s="458">
        <f t="shared" si="17"/>
        <v>170892.85714285713</v>
      </c>
      <c r="N32" s="98">
        <f t="shared" si="18"/>
        <v>2050714.2857142854</v>
      </c>
      <c r="O32" s="517">
        <f t="shared" si="19"/>
        <v>147892.85714285713</v>
      </c>
      <c r="P32" s="514">
        <f>IF($E$4="",0,IF($O32=0,0,VLOOKUP($O32,'3-1.標準報酬月額・保険料表'!$N$8:$O$57,2,TRUE)))</f>
        <v>150000</v>
      </c>
      <c r="Q32" s="515">
        <f t="shared" si="3"/>
        <v>173392.85714285713</v>
      </c>
      <c r="R32" s="518">
        <f>IF($E$4="",0,IF($Q32=0,0,VLOOKUP($Q32,'3-1.標準報酬月額・保険料表'!$N$8:$O$57,2,TRUE)))</f>
        <v>170000</v>
      </c>
      <c r="S32" s="381">
        <f t="shared" si="20"/>
        <v>173392.85714285713</v>
      </c>
      <c r="T32" s="474">
        <f>IF($E$4="",0,IF($S32=0,0,VLOOKUP($S32,'3-1.標準報酬月額・保険料表'!$N$8:$O$57,2,TRUE)))</f>
        <v>170000</v>
      </c>
      <c r="U32" s="473">
        <f t="shared" si="4"/>
        <v>0</v>
      </c>
      <c r="V32" s="461">
        <f t="shared" si="5"/>
        <v>0</v>
      </c>
      <c r="W32" s="187">
        <f t="shared" si="6"/>
        <v>143392.85714285713</v>
      </c>
      <c r="X32" s="61">
        <f>IF($E$4="",0,IF($I32&lt;20,0,IF($X$13="",0,IF($X$13=2,0,IF($W32&lt;$Y$13,0,IF($T32&lt;=620000,VLOOKUP($T32,'3-1.標準報酬月額・保険料表'!$D$8:$L$42,9,FALSE),'3-1.標準報酬月額・保険料表'!$L$42)+ROUNDDOWN($V32*$AD$7,0))))))</f>
        <v>15555</v>
      </c>
      <c r="Y32" s="50">
        <f>IF($E$4="",0,IF($I32&lt;20,0,IF($U$9="",0,IF($X$13=2,0,IF($E$10&gt;=$Z$13,0,IF($W32&lt;$Y$13,0,VLOOKUP($T32,'3-1.標準報酬月額・保険料表'!$D$8:$J$57,6,FALSE)+ROUNDDOWN($V32*$AA$7,0)))))))</f>
        <v>8746.5</v>
      </c>
      <c r="Z32" s="50">
        <f>IF($E$4="",0,IF($I32&lt;20,0,IF($X$13="",0,IF($X$13=2,0,IF($E$10&lt;$Z$13,0,IF($W32&lt;$Y$13,0,VLOOKUP($T32,'3-1.標準報酬月額・保険料表'!$D$8:$J$57,7,FALSE)+ROUNDDOWN($V32*$AB$7,0)))))))</f>
        <v>0</v>
      </c>
      <c r="AA32" s="66">
        <f t="shared" si="21"/>
        <v>24301.5</v>
      </c>
      <c r="AB32" s="71">
        <f>IF($E$4="",0,IF($AB$13="",0,IF($AB$13=1,0,IF($I32&lt;$AD$13,0,IF($N32&lt;$AC$13,0,IF($T32&lt;=620000,VLOOKUP($T32,'3-1.標準報酬月額・保険料表'!$D$8:$L$42,9,FALSE),'3-1.標準報酬月額・保険料表'!$L$42)+ROUNDDOWN($V32*$AD$7,0))))))</f>
        <v>0</v>
      </c>
      <c r="AC32" s="72">
        <f>IF($E$4="",0,IF($AB$13="",0,IF($AB$13=1,0,IF($I32&lt;$AD$13,0,IF($N32&lt;$AC$13,0,IF($E$10&gt;=$AE$13,0,VLOOKUP($T32,'3-1.標準報酬月額・保険料表'!$D$8:$J$57,6,FALSE)+ROUNDDOWN($V32*$AA$7,0)))))))</f>
        <v>0</v>
      </c>
      <c r="AD32" s="72">
        <f>IF($E$4="",0,IF($AB$13="",0,IF($AB$13=1,0,IF($I32&lt;$AD$13,0,IF($N32&lt;$AC$13,0,IF($E$10&lt;$AE$13,0,VLOOKUP($T32,'3-1.標準報酬月額・保険料表'!$D$8:$J$57,7,FALSE)+ROUNDDOWN($V32*$AB$7,0)))))))</f>
        <v>0</v>
      </c>
      <c r="AE32" s="73">
        <f t="shared" si="22"/>
        <v>0</v>
      </c>
      <c r="AF32" s="63">
        <f t="shared" si="7"/>
        <v>12304.285714285714</v>
      </c>
      <c r="AG32" s="68">
        <f t="shared" si="23"/>
        <v>303922.28571428574</v>
      </c>
      <c r="AH32" s="152">
        <f>IF($E$4="","",VLOOKUP($N32,'3-2.所得算出参照表'!K$5:L$10,2,TRUE))</f>
        <v>3600000</v>
      </c>
      <c r="AI32" s="153">
        <f>IF($AH32="",0,IF($AH32='3-2.所得算出参照表'!$B$5,'3-2.所得算出参照表'!$E$5,IF('4-1.手当等支給メニュー'!$AH32='3-2.所得算出参照表'!$B$6,'4-1.手当等支給メニュー'!$N32*'3-2.所得算出参照表'!$E$6+'3-2.所得算出参照表'!$G$6,IF('4-1.手当等支給メニュー'!$AH32='3-2.所得算出参照表'!$B$7,'4-1.手当等支給メニュー'!$N32*'3-2.所得算出参照表'!$E$7+'3-2.所得算出参照表'!$G$7,IF('4-1.手当等支給メニュー'!$AH32='3-2.所得算出参照表'!$B$8,'4-1.手当等支給メニュー'!$N32*'3-2.所得算出参照表'!$E$8+'3-2.所得算出参照表'!$G$8,IF('4-1.手当等支給メニュー'!$AH32='3-2.所得算出参照表'!$B$9,'4-1.手当等支給メニュー'!$N32*'3-2.所得算出参照表'!$E$9+'3-2.所得算出参照表'!$G$9,IF($AH32='3-2.所得算出参照表'!$B$10,'3-2.所得算出参照表'!$G$10)))))))</f>
        <v>695214.28571428556</v>
      </c>
      <c r="AJ32" s="115">
        <f t="shared" si="8"/>
        <v>480000</v>
      </c>
      <c r="AK32" s="110">
        <f t="shared" si="9"/>
        <v>571000</v>
      </c>
      <c r="AL32" s="155">
        <f>VLOOKUP($AK32,'3-2.所得算出参照表'!$N$4:$O$11,2,TRUE)</f>
        <v>0.05</v>
      </c>
      <c r="AM32" s="110">
        <f>VLOOKUP($AK32,'3-2.所得算出参照表'!$P$4:$Q$11,2,TRUE)</f>
        <v>0</v>
      </c>
      <c r="AN32" s="110">
        <f t="shared" si="24"/>
        <v>28550</v>
      </c>
      <c r="AO32" s="110">
        <f>$AN32*'3-2.所得算出参照表'!$D$14</f>
        <v>599.55000000000007</v>
      </c>
      <c r="AP32" s="124">
        <f t="shared" si="25"/>
        <v>29100</v>
      </c>
      <c r="AQ32" s="132">
        <f>IF($AH32="",0,IF($AH32='3-2.所得算出参照表'!$B$5,'3-2.所得算出参照表'!$E$5,IF('4-1.手当等支給メニュー'!$AH32='3-2.所得算出参照表'!$B$6,'4-1.手当等支給メニュー'!$N32*'3-2.所得算出参照表'!$E$6+'3-2.所得算出参照表'!$G$6,IF('4-1.手当等支給メニュー'!$AH32='3-2.所得算出参照表'!$B$7,'4-1.手当等支給メニュー'!$N32*'3-2.所得算出参照表'!$E$7+'3-2.所得算出参照表'!$G$7,IF('4-1.手当等支給メニュー'!$AH32='3-2.所得算出参照表'!$B$8,'4-1.手当等支給メニュー'!$N32*'3-2.所得算出参照表'!$E$8+'3-2.所得算出参照表'!$G$8,IF('4-1.手当等支給メニュー'!$AH32='3-2.所得算出参照表'!$B$9,'4-1.手当等支給メニュー'!$N32*'3-2.所得算出参照表'!$E$9+'3-2.所得算出参照表'!$G$9,IF($AH32='3-2.所得算出参照表'!$B$10,'3-2.所得算出参照表'!$G$10)))))))</f>
        <v>695214.28571428556</v>
      </c>
      <c r="AR32" s="72">
        <f t="shared" si="10"/>
        <v>430000</v>
      </c>
      <c r="AS32" s="120">
        <f t="shared" si="11"/>
        <v>621000</v>
      </c>
      <c r="AT32" s="120">
        <f t="shared" si="12"/>
        <v>5500</v>
      </c>
      <c r="AU32" s="121">
        <f t="shared" si="13"/>
        <v>0.1</v>
      </c>
      <c r="AV32" s="128">
        <f t="shared" si="26"/>
        <v>65100</v>
      </c>
      <c r="AW32" s="145">
        <f t="shared" si="14"/>
        <v>1652591.9999999998</v>
      </c>
    </row>
    <row r="33" spans="2:49" ht="21.95" customHeight="1" x14ac:dyDescent="0.15">
      <c r="B33" s="101">
        <v>19</v>
      </c>
      <c r="C33" s="103">
        <f t="shared" si="0"/>
        <v>1000</v>
      </c>
      <c r="D33" s="454">
        <f t="shared" si="1"/>
        <v>88</v>
      </c>
      <c r="E33" s="468">
        <f>IF($E$4="","",IF(AND($I33&gt;=20,$D33=88,'4-1.参照シートー２'!$R33&lt;=104000),($P33+$V33)*$G$12,0))</f>
        <v>0</v>
      </c>
      <c r="F33" s="503">
        <f>IF('4-1.参照シートー２'!$G33="","",'4-1.参照シートー２'!$G33)</f>
        <v>27000</v>
      </c>
      <c r="G33" s="469">
        <f>IF($E$4="","",IF(AND($I33&gt;=20,$D33=88,$R33&gt;104000),('4-1.参照シートー２'!$R33+$V33)*$G$12,0))</f>
        <v>27000</v>
      </c>
      <c r="H33" s="447">
        <f t="shared" si="27"/>
        <v>18</v>
      </c>
      <c r="I33" s="85">
        <f t="shared" si="28"/>
        <v>34</v>
      </c>
      <c r="J33" s="198">
        <f t="shared" si="2"/>
        <v>1772.8571428571429</v>
      </c>
      <c r="K33" s="383">
        <f t="shared" si="15"/>
        <v>147738.09523809524</v>
      </c>
      <c r="L33" s="198">
        <f t="shared" si="16"/>
        <v>174738.09523809524</v>
      </c>
      <c r="M33" s="458">
        <f t="shared" si="17"/>
        <v>176738.09523809524</v>
      </c>
      <c r="N33" s="98">
        <f t="shared" si="18"/>
        <v>2120857.1428571427</v>
      </c>
      <c r="O33" s="517">
        <f t="shared" si="19"/>
        <v>152238.09523809524</v>
      </c>
      <c r="P33" s="514">
        <f>IF($E$4="",0,IF($O33=0,0,VLOOKUP($O33,'3-1.標準報酬月額・保険料表'!$N$8:$O$57,2,TRUE)))</f>
        <v>150000</v>
      </c>
      <c r="Q33" s="515">
        <f t="shared" si="3"/>
        <v>179238.09523809524</v>
      </c>
      <c r="R33" s="518">
        <f>IF($E$4="",0,IF($Q33=0,0,VLOOKUP($Q33,'3-1.標準報酬月額・保険料表'!$N$8:$O$57,2,TRUE)))</f>
        <v>180000</v>
      </c>
      <c r="S33" s="381">
        <f t="shared" si="20"/>
        <v>179238.09523809524</v>
      </c>
      <c r="T33" s="474">
        <f>IF($E$4="",0,IF($S33=0,0,VLOOKUP($S33,'3-1.標準報酬月額・保険料表'!$N$8:$O$57,2,TRUE)))</f>
        <v>180000</v>
      </c>
      <c r="U33" s="473">
        <f t="shared" si="4"/>
        <v>0</v>
      </c>
      <c r="V33" s="461">
        <f t="shared" si="5"/>
        <v>0</v>
      </c>
      <c r="W33" s="187">
        <f t="shared" si="6"/>
        <v>147738.09523809524</v>
      </c>
      <c r="X33" s="61">
        <f>IF($E$4="",0,IF($I33&lt;20,0,IF($X$13="",0,IF($X$13=2,0,IF($W33&lt;$Y$13,0,IF($T33&lt;=620000,VLOOKUP($T33,'3-1.標準報酬月額・保険料表'!$D$8:$L$42,9,FALSE),'3-1.標準報酬月額・保険料表'!$L$42)+ROUNDDOWN($V33*$AD$7,0))))))</f>
        <v>16470</v>
      </c>
      <c r="Y33" s="50">
        <f>IF($E$4="",0,IF($I33&lt;20,0,IF($U$9="",0,IF($X$13=2,0,IF($E$10&gt;=$Z$13,0,IF($W33&lt;$Y$13,0,VLOOKUP($T33,'3-1.標準報酬月額・保険料表'!$D$8:$J$57,6,FALSE)+ROUNDDOWN($V33*$AA$7,0)))))))</f>
        <v>9261</v>
      </c>
      <c r="Z33" s="50">
        <f>IF($E$4="",0,IF($I33&lt;20,0,IF($X$13="",0,IF($X$13=2,0,IF($E$10&lt;$Z$13,0,IF($W33&lt;$Y$13,0,VLOOKUP($T33,'3-1.標準報酬月額・保険料表'!$D$8:$J$57,7,FALSE)+ROUNDDOWN($V33*$AB$7,0)))))))</f>
        <v>0</v>
      </c>
      <c r="AA33" s="66">
        <f t="shared" si="21"/>
        <v>25731</v>
      </c>
      <c r="AB33" s="71">
        <f>IF($E$4="",0,IF($AB$13="",0,IF($AB$13=1,0,IF($I33&lt;$AD$13,0,IF($N33&lt;$AC$13,0,IF($T33&lt;=620000,VLOOKUP($T33,'3-1.標準報酬月額・保険料表'!$D$8:$L$42,9,FALSE),'3-1.標準報酬月額・保険料表'!$L$42)+ROUNDDOWN($V33*$AD$7,0))))))</f>
        <v>0</v>
      </c>
      <c r="AC33" s="72">
        <f>IF($E$4="",0,IF($AB$13="",0,IF($AB$13=1,0,IF($I33&lt;$AD$13,0,IF($N33&lt;$AC$13,0,IF($E$10&gt;=$AE$13,0,VLOOKUP($T33,'3-1.標準報酬月額・保険料表'!$D$8:$J$57,6,FALSE)+ROUNDDOWN($V33*$AA$7,0)))))))</f>
        <v>0</v>
      </c>
      <c r="AD33" s="72">
        <f>IF($E$4="",0,IF($AB$13="",0,IF($AB$13=1,0,IF($I33&lt;$AD$13,0,IF($N33&lt;$AC$13,0,IF($E$10&lt;$AE$13,0,VLOOKUP($T33,'3-1.標準報酬月額・保険料表'!$D$8:$J$57,7,FALSE)+ROUNDDOWN($V33*$AB$7,0)))))))</f>
        <v>0</v>
      </c>
      <c r="AE33" s="73">
        <f t="shared" si="22"/>
        <v>0</v>
      </c>
      <c r="AF33" s="63">
        <f t="shared" si="7"/>
        <v>12725.142857142857</v>
      </c>
      <c r="AG33" s="68">
        <f t="shared" si="23"/>
        <v>321497.14285714284</v>
      </c>
      <c r="AH33" s="152">
        <f>IF($E$4="","",VLOOKUP($N33,'3-2.所得算出参照表'!K$5:L$10,2,TRUE))</f>
        <v>3600000</v>
      </c>
      <c r="AI33" s="153">
        <f>IF($AH33="",0,IF($AH33='3-2.所得算出参照表'!$B$5,'3-2.所得算出参照表'!$E$5,IF('4-1.手当等支給メニュー'!$AH33='3-2.所得算出参照表'!$B$6,'4-1.手当等支給メニュー'!$N33*'3-2.所得算出参照表'!$E$6+'3-2.所得算出参照表'!$G$6,IF('4-1.手当等支給メニュー'!$AH33='3-2.所得算出参照表'!$B$7,'4-1.手当等支給メニュー'!$N33*'3-2.所得算出参照表'!$E$7+'3-2.所得算出参照表'!$G$7,IF('4-1.手当等支給メニュー'!$AH33='3-2.所得算出参照表'!$B$8,'4-1.手当等支給メニュー'!$N33*'3-2.所得算出参照表'!$E$8+'3-2.所得算出参照表'!$G$8,IF('4-1.手当等支給メニュー'!$AH33='3-2.所得算出参照表'!$B$9,'4-1.手当等支給メニュー'!$N33*'3-2.所得算出参照表'!$E$9+'3-2.所得算出参照表'!$G$9,IF($AH33='3-2.所得算出参照表'!$B$10,'3-2.所得算出参照表'!$G$10)))))))</f>
        <v>716257.14285714284</v>
      </c>
      <c r="AJ33" s="115">
        <f t="shared" si="8"/>
        <v>480000</v>
      </c>
      <c r="AK33" s="110">
        <f t="shared" si="9"/>
        <v>603000</v>
      </c>
      <c r="AL33" s="155">
        <f>VLOOKUP($AK33,'3-2.所得算出参照表'!$N$4:$O$11,2,TRUE)</f>
        <v>0.05</v>
      </c>
      <c r="AM33" s="110">
        <f>VLOOKUP($AK33,'3-2.所得算出参照表'!$P$4:$Q$11,2,TRUE)</f>
        <v>0</v>
      </c>
      <c r="AN33" s="110">
        <f t="shared" si="24"/>
        <v>30150</v>
      </c>
      <c r="AO33" s="110">
        <f>$AN33*'3-2.所得算出参照表'!$D$14</f>
        <v>633.15000000000009</v>
      </c>
      <c r="AP33" s="124">
        <f t="shared" si="25"/>
        <v>30700</v>
      </c>
      <c r="AQ33" s="132">
        <f>IF($AH33="",0,IF($AH33='3-2.所得算出参照表'!$B$5,'3-2.所得算出参照表'!$E$5,IF('4-1.手当等支給メニュー'!$AH33='3-2.所得算出参照表'!$B$6,'4-1.手当等支給メニュー'!$N33*'3-2.所得算出参照表'!$E$6+'3-2.所得算出参照表'!$G$6,IF('4-1.手当等支給メニュー'!$AH33='3-2.所得算出参照表'!$B$7,'4-1.手当等支給メニュー'!$N33*'3-2.所得算出参照表'!$E$7+'3-2.所得算出参照表'!$G$7,IF('4-1.手当等支給メニュー'!$AH33='3-2.所得算出参照表'!$B$8,'4-1.手当等支給メニュー'!$N33*'3-2.所得算出参照表'!$E$8+'3-2.所得算出参照表'!$G$8,IF('4-1.手当等支給メニュー'!$AH33='3-2.所得算出参照表'!$B$9,'4-1.手当等支給メニュー'!$N33*'3-2.所得算出参照表'!$E$9+'3-2.所得算出参照表'!$G$9,IF($AH33='3-2.所得算出参照表'!$B$10,'3-2.所得算出参照表'!$G$10)))))))</f>
        <v>716257.14285714284</v>
      </c>
      <c r="AR33" s="72">
        <f t="shared" si="10"/>
        <v>430000</v>
      </c>
      <c r="AS33" s="120">
        <f t="shared" si="11"/>
        <v>653000</v>
      </c>
      <c r="AT33" s="120">
        <f t="shared" si="12"/>
        <v>5500</v>
      </c>
      <c r="AU33" s="121">
        <f t="shared" si="13"/>
        <v>0.1</v>
      </c>
      <c r="AV33" s="128">
        <f t="shared" si="26"/>
        <v>68300</v>
      </c>
      <c r="AW33" s="145">
        <f t="shared" si="14"/>
        <v>1700360</v>
      </c>
    </row>
    <row r="34" spans="2:49" ht="21.95" customHeight="1" x14ac:dyDescent="0.15">
      <c r="B34" s="101">
        <v>20</v>
      </c>
      <c r="C34" s="103">
        <f t="shared" si="0"/>
        <v>1000</v>
      </c>
      <c r="D34" s="454">
        <f t="shared" si="1"/>
        <v>88</v>
      </c>
      <c r="E34" s="468">
        <f>IF($E$4="","",IF(AND($I34&gt;=20,$D34=88,'4-1.参照シートー２'!$R34&lt;=104000),($P34+$V34)*$G$12,0))</f>
        <v>0</v>
      </c>
      <c r="F34" s="503">
        <f>IF('4-1.参照シートー２'!$G34="","",'4-1.参照シートー２'!$G34)</f>
        <v>27000</v>
      </c>
      <c r="G34" s="469">
        <f>IF($E$4="","",IF(AND($I34&gt;=20,$D34=88,$R34&gt;104000),('4-1.参照シートー２'!$R34+$V34)*$G$12,0))</f>
        <v>27000</v>
      </c>
      <c r="H34" s="447">
        <f t="shared" si="27"/>
        <v>19</v>
      </c>
      <c r="I34" s="85">
        <f t="shared" si="28"/>
        <v>35</v>
      </c>
      <c r="J34" s="198">
        <f t="shared" si="2"/>
        <v>1825</v>
      </c>
      <c r="K34" s="383">
        <f t="shared" si="15"/>
        <v>152083.33333333334</v>
      </c>
      <c r="L34" s="198">
        <f t="shared" si="16"/>
        <v>179083.33333333334</v>
      </c>
      <c r="M34" s="458">
        <f t="shared" si="17"/>
        <v>181083.33333333334</v>
      </c>
      <c r="N34" s="98">
        <f t="shared" si="18"/>
        <v>2173000</v>
      </c>
      <c r="O34" s="517">
        <f t="shared" si="19"/>
        <v>156583.33333333334</v>
      </c>
      <c r="P34" s="514">
        <f>IF($E$4="",0,IF($O34=0,0,VLOOKUP($O34,'3-1.標準報酬月額・保険料表'!$N$8:$O$57,2,TRUE)))</f>
        <v>160000</v>
      </c>
      <c r="Q34" s="515">
        <f t="shared" si="3"/>
        <v>183583.33333333334</v>
      </c>
      <c r="R34" s="518">
        <f>IF($E$4="",0,IF($Q34=0,0,VLOOKUP($Q34,'3-1.標準報酬月額・保険料表'!$N$8:$O$57,2,TRUE)))</f>
        <v>180000</v>
      </c>
      <c r="S34" s="381">
        <f t="shared" si="20"/>
        <v>183583.33333333334</v>
      </c>
      <c r="T34" s="474">
        <f>IF($E$4="",0,IF($S34=0,0,VLOOKUP($S34,'3-1.標準報酬月額・保険料表'!$N$8:$O$57,2,TRUE)))</f>
        <v>180000</v>
      </c>
      <c r="U34" s="473">
        <f t="shared" si="4"/>
        <v>0</v>
      </c>
      <c r="V34" s="461">
        <f t="shared" si="5"/>
        <v>0</v>
      </c>
      <c r="W34" s="187">
        <f t="shared" si="6"/>
        <v>152083.33333333334</v>
      </c>
      <c r="X34" s="61">
        <f>IF($E$4="",0,IF($I34&lt;20,0,IF($X$13="",0,IF($X$13=2,0,IF($W34&lt;$Y$13,0,IF($T34&lt;=620000,VLOOKUP($T34,'3-1.標準報酬月額・保険料表'!$D$8:$L$42,9,FALSE),'3-1.標準報酬月額・保険料表'!$L$42)+ROUNDDOWN($V34*$AD$7,0))))))</f>
        <v>16470</v>
      </c>
      <c r="Y34" s="50">
        <f>IF($E$4="",0,IF($I34&lt;20,0,IF($U$9="",0,IF($X$13=2,0,IF($E$10&gt;=$Z$13,0,IF($W34&lt;$Y$13,0,VLOOKUP($T34,'3-1.標準報酬月額・保険料表'!$D$8:$J$57,6,FALSE)+ROUNDDOWN($V34*$AA$7,0)))))))</f>
        <v>9261</v>
      </c>
      <c r="Z34" s="50">
        <f>IF($E$4="",0,IF($I34&lt;20,0,IF($X$13="",0,IF($X$13=2,0,IF($E$10&lt;$Z$13,0,IF($W34&lt;$Y$13,0,VLOOKUP($T34,'3-1.標準報酬月額・保険料表'!$D$8:$J$57,7,FALSE)+ROUNDDOWN($V34*$AB$7,0)))))))</f>
        <v>0</v>
      </c>
      <c r="AA34" s="66">
        <f t="shared" si="21"/>
        <v>25731</v>
      </c>
      <c r="AB34" s="71">
        <f>IF($E$4="",0,IF($AB$13="",0,IF($AB$13=1,0,IF($I34&lt;$AD$13,0,IF($N34&lt;$AC$13,0,IF($T34&lt;=620000,VLOOKUP($T34,'3-1.標準報酬月額・保険料表'!$D$8:$L$42,9,FALSE),'3-1.標準報酬月額・保険料表'!$L$42)+ROUNDDOWN($V34*$AD$7,0))))))</f>
        <v>0</v>
      </c>
      <c r="AC34" s="72">
        <f>IF($E$4="",0,IF($AB$13="",0,IF($AB$13=1,0,IF($I34&lt;$AD$13,0,IF($N34&lt;$AC$13,0,IF($E$10&gt;=$AE$13,0,VLOOKUP($T34,'3-1.標準報酬月額・保険料表'!$D$8:$J$57,6,FALSE)+ROUNDDOWN($V34*$AA$7,0)))))))</f>
        <v>0</v>
      </c>
      <c r="AD34" s="72">
        <f>IF($E$4="",0,IF($AB$13="",0,IF($AB$13=1,0,IF($I34&lt;$AD$13,0,IF($N34&lt;$AC$13,0,IF($E$10&lt;$AE$13,0,VLOOKUP($T34,'3-1.標準報酬月額・保険料表'!$D$8:$J$57,7,FALSE)+ROUNDDOWN($V34*$AB$7,0)))))))</f>
        <v>0</v>
      </c>
      <c r="AE34" s="73">
        <f t="shared" si="22"/>
        <v>0</v>
      </c>
      <c r="AF34" s="63">
        <f t="shared" si="7"/>
        <v>13038</v>
      </c>
      <c r="AG34" s="68">
        <f t="shared" si="23"/>
        <v>321810</v>
      </c>
      <c r="AH34" s="152">
        <f>IF($E$4="","",VLOOKUP($N34,'3-2.所得算出参照表'!K$5:L$10,2,TRUE))</f>
        <v>3600000</v>
      </c>
      <c r="AI34" s="153">
        <f>IF($AH34="",0,IF($AH34='3-2.所得算出参照表'!$B$5,'3-2.所得算出参照表'!$E$5,IF('4-1.手当等支給メニュー'!$AH34='3-2.所得算出参照表'!$B$6,'4-1.手当等支給メニュー'!$N34*'3-2.所得算出参照表'!$E$6+'3-2.所得算出参照表'!$G$6,IF('4-1.手当等支給メニュー'!$AH34='3-2.所得算出参照表'!$B$7,'4-1.手当等支給メニュー'!$N34*'3-2.所得算出参照表'!$E$7+'3-2.所得算出参照表'!$G$7,IF('4-1.手当等支給メニュー'!$AH34='3-2.所得算出参照表'!$B$8,'4-1.手当等支給メニュー'!$N34*'3-2.所得算出参照表'!$E$8+'3-2.所得算出参照表'!$G$8,IF('4-1.手当等支給メニュー'!$AH34='3-2.所得算出参照表'!$B$9,'4-1.手当等支給メニュー'!$N34*'3-2.所得算出参照表'!$E$9+'3-2.所得算出参照表'!$G$9,IF($AH34='3-2.所得算出参照表'!$B$10,'3-2.所得算出参照表'!$G$10)))))))</f>
        <v>731900</v>
      </c>
      <c r="AJ34" s="115">
        <f t="shared" si="8"/>
        <v>480000</v>
      </c>
      <c r="AK34" s="110">
        <f t="shared" si="9"/>
        <v>639000</v>
      </c>
      <c r="AL34" s="155">
        <f>VLOOKUP($AK34,'3-2.所得算出参照表'!$N$4:$O$11,2,TRUE)</f>
        <v>0.05</v>
      </c>
      <c r="AM34" s="110">
        <f>VLOOKUP($AK34,'3-2.所得算出参照表'!$P$4:$Q$11,2,TRUE)</f>
        <v>0</v>
      </c>
      <c r="AN34" s="110">
        <f t="shared" si="24"/>
        <v>31950</v>
      </c>
      <c r="AO34" s="110">
        <f>$AN34*'3-2.所得算出参照表'!$D$14</f>
        <v>670.95</v>
      </c>
      <c r="AP34" s="124">
        <f t="shared" si="25"/>
        <v>32600</v>
      </c>
      <c r="AQ34" s="132">
        <f>IF($AH34="",0,IF($AH34='3-2.所得算出参照表'!$B$5,'3-2.所得算出参照表'!$E$5,IF('4-1.手当等支給メニュー'!$AH34='3-2.所得算出参照表'!$B$6,'4-1.手当等支給メニュー'!$N34*'3-2.所得算出参照表'!$E$6+'3-2.所得算出参照表'!$G$6,IF('4-1.手当等支給メニュー'!$AH34='3-2.所得算出参照表'!$B$7,'4-1.手当等支給メニュー'!$N34*'3-2.所得算出参照表'!$E$7+'3-2.所得算出参照表'!$G$7,IF('4-1.手当等支給メニュー'!$AH34='3-2.所得算出参照表'!$B$8,'4-1.手当等支給メニュー'!$N34*'3-2.所得算出参照表'!$E$8+'3-2.所得算出参照表'!$G$8,IF('4-1.手当等支給メニュー'!$AH34='3-2.所得算出参照表'!$B$9,'4-1.手当等支給メニュー'!$N34*'3-2.所得算出参照表'!$E$9+'3-2.所得算出参照表'!$G$9,IF($AH34='3-2.所得算出参照表'!$B$10,'3-2.所得算出参照表'!$G$10)))))))</f>
        <v>731900</v>
      </c>
      <c r="AR34" s="72">
        <f t="shared" si="10"/>
        <v>430000</v>
      </c>
      <c r="AS34" s="120">
        <f t="shared" si="11"/>
        <v>689000</v>
      </c>
      <c r="AT34" s="120">
        <f t="shared" si="12"/>
        <v>5500</v>
      </c>
      <c r="AU34" s="121">
        <f t="shared" si="13"/>
        <v>0.1</v>
      </c>
      <c r="AV34" s="128">
        <f t="shared" si="26"/>
        <v>71900</v>
      </c>
      <c r="AW34" s="145">
        <f t="shared" si="14"/>
        <v>1746690</v>
      </c>
    </row>
    <row r="35" spans="2:49" ht="21.95" customHeight="1" x14ac:dyDescent="0.15">
      <c r="B35" s="101">
        <v>21</v>
      </c>
      <c r="C35" s="103">
        <f t="shared" si="0"/>
        <v>1000</v>
      </c>
      <c r="D35" s="454">
        <f t="shared" si="1"/>
        <v>88</v>
      </c>
      <c r="E35" s="468">
        <f>IF($E$4="","",IF(AND($I35&gt;=20,$D35=88,'4-1.参照シートー２'!$R35&lt;=104000),($P35+$V35)*$G$12,0))</f>
        <v>0</v>
      </c>
      <c r="F35" s="503">
        <f>IF('4-1.参照シートー２'!$G35="","",'4-1.参照シートー２'!$G35)</f>
        <v>28500</v>
      </c>
      <c r="G35" s="469">
        <f>IF($E$4="","",IF(AND($I35&gt;=20,$D35=88,$R35&gt;104000),('4-1.参照シートー２'!$R35+$V35)*$G$12,0))</f>
        <v>28500</v>
      </c>
      <c r="H35" s="447">
        <f t="shared" si="27"/>
        <v>20</v>
      </c>
      <c r="I35" s="85">
        <f t="shared" si="28"/>
        <v>36</v>
      </c>
      <c r="J35" s="198">
        <f t="shared" si="2"/>
        <v>1877.1428571428571</v>
      </c>
      <c r="K35" s="383">
        <f t="shared" si="15"/>
        <v>156428.57142857142</v>
      </c>
      <c r="L35" s="198">
        <f t="shared" si="16"/>
        <v>184928.57142857142</v>
      </c>
      <c r="M35" s="458">
        <f t="shared" si="17"/>
        <v>186928.57142857142</v>
      </c>
      <c r="N35" s="98">
        <f t="shared" si="18"/>
        <v>2243142.8571428573</v>
      </c>
      <c r="O35" s="517">
        <f t="shared" si="19"/>
        <v>160928.57142857142</v>
      </c>
      <c r="P35" s="514">
        <f>IF($E$4="",0,IF($O35=0,0,VLOOKUP($O35,'3-1.標準報酬月額・保険料表'!$N$8:$O$57,2,TRUE)))</f>
        <v>160000</v>
      </c>
      <c r="Q35" s="515">
        <f t="shared" si="3"/>
        <v>189428.57142857142</v>
      </c>
      <c r="R35" s="518">
        <f>IF($E$4="",0,IF($Q35=0,0,VLOOKUP($Q35,'3-1.標準報酬月額・保険料表'!$N$8:$O$57,2,TRUE)))</f>
        <v>190000</v>
      </c>
      <c r="S35" s="381">
        <f t="shared" si="20"/>
        <v>189428.57142857142</v>
      </c>
      <c r="T35" s="474">
        <f>IF($E$4="",0,IF($S35=0,0,VLOOKUP($S35,'3-1.標準報酬月額・保険料表'!$N$8:$O$57,2,TRUE)))</f>
        <v>190000</v>
      </c>
      <c r="U35" s="473">
        <f t="shared" si="4"/>
        <v>0</v>
      </c>
      <c r="V35" s="461">
        <f t="shared" si="5"/>
        <v>0</v>
      </c>
      <c r="W35" s="187">
        <f t="shared" si="6"/>
        <v>156428.57142857142</v>
      </c>
      <c r="X35" s="61">
        <f>IF($E$4="",0,IF($I35&lt;20,0,IF($X$13="",0,IF($X$13=2,0,IF($W35&lt;$Y$13,0,IF($T35&lt;=620000,VLOOKUP($T35,'3-1.標準報酬月額・保険料表'!$D$8:$L$42,9,FALSE),'3-1.標準報酬月額・保険料表'!$L$42)+ROUNDDOWN($V35*$AD$7,0))))))</f>
        <v>17385</v>
      </c>
      <c r="Y35" s="50">
        <f>IF($E$4="",0,IF($I35&lt;20,0,IF($U$9="",0,IF($X$13=2,0,IF($E$10&gt;=$Z$13,0,IF($W35&lt;$Y$13,0,VLOOKUP($T35,'3-1.標準報酬月額・保険料表'!$D$8:$J$57,6,FALSE)+ROUNDDOWN($V35*$AA$7,0)))))))</f>
        <v>9775.5</v>
      </c>
      <c r="Z35" s="50">
        <f>IF($E$4="",0,IF($I35&lt;20,0,IF($X$13="",0,IF($X$13=2,0,IF($E$10&lt;$Z$13,0,IF($W35&lt;$Y$13,0,VLOOKUP($T35,'3-1.標準報酬月額・保険料表'!$D$8:$J$57,7,FALSE)+ROUNDDOWN($V35*$AB$7,0)))))))</f>
        <v>0</v>
      </c>
      <c r="AA35" s="66">
        <f t="shared" si="21"/>
        <v>27160.5</v>
      </c>
      <c r="AB35" s="71">
        <f>IF($E$4="",0,IF($AB$13="",0,IF($AB$13=1,0,IF($I35&lt;$AD$13,0,IF($N35&lt;$AC$13,0,IF($T35&lt;=620000,VLOOKUP($T35,'3-1.標準報酬月額・保険料表'!$D$8:$L$42,9,FALSE),'3-1.標準報酬月額・保険料表'!$L$42)+ROUNDDOWN($V35*$AD$7,0))))))</f>
        <v>0</v>
      </c>
      <c r="AC35" s="72">
        <f>IF($E$4="",0,IF($AB$13="",0,IF($AB$13=1,0,IF($I35&lt;$AD$13,0,IF($N35&lt;$AC$13,0,IF($E$10&gt;=$AE$13,0,VLOOKUP($T35,'3-1.標準報酬月額・保険料表'!$D$8:$J$57,6,FALSE)+ROUNDDOWN($V35*$AA$7,0)))))))</f>
        <v>0</v>
      </c>
      <c r="AD35" s="72">
        <f>IF($E$4="",0,IF($AB$13="",0,IF($AB$13=1,0,IF($I35&lt;$AD$13,0,IF($N35&lt;$AC$13,0,IF($E$10&lt;$AE$13,0,VLOOKUP($T35,'3-1.標準報酬月額・保険料表'!$D$8:$J$57,7,FALSE)+ROUNDDOWN($V35*$AB$7,0)))))))</f>
        <v>0</v>
      </c>
      <c r="AE35" s="73">
        <f t="shared" si="22"/>
        <v>0</v>
      </c>
      <c r="AF35" s="63">
        <f t="shared" si="7"/>
        <v>13458.857142857143</v>
      </c>
      <c r="AG35" s="68">
        <f t="shared" si="23"/>
        <v>339384.85714285716</v>
      </c>
      <c r="AH35" s="152">
        <f>IF($E$4="","",VLOOKUP($N35,'3-2.所得算出参照表'!K$5:L$10,2,TRUE))</f>
        <v>3600000</v>
      </c>
      <c r="AI35" s="153">
        <f>IF($AH35="",0,IF($AH35='3-2.所得算出参照表'!$B$5,'3-2.所得算出参照表'!$E$5,IF('4-1.手当等支給メニュー'!$AH35='3-2.所得算出参照表'!$B$6,'4-1.手当等支給メニュー'!$N35*'3-2.所得算出参照表'!$E$6+'3-2.所得算出参照表'!$G$6,IF('4-1.手当等支給メニュー'!$AH35='3-2.所得算出参照表'!$B$7,'4-1.手当等支給メニュー'!$N35*'3-2.所得算出参照表'!$E$7+'3-2.所得算出参照表'!$G$7,IF('4-1.手当等支給メニュー'!$AH35='3-2.所得算出参照表'!$B$8,'4-1.手当等支給メニュー'!$N35*'3-2.所得算出参照表'!$E$8+'3-2.所得算出参照表'!$G$8,IF('4-1.手当等支給メニュー'!$AH35='3-2.所得算出参照表'!$B$9,'4-1.手当等支給メニュー'!$N35*'3-2.所得算出参照表'!$E$9+'3-2.所得算出参照表'!$G$9,IF($AH35='3-2.所得算出参照表'!$B$10,'3-2.所得算出参照表'!$G$10)))))))</f>
        <v>752942.85714285716</v>
      </c>
      <c r="AJ35" s="115">
        <f t="shared" si="8"/>
        <v>480000</v>
      </c>
      <c r="AK35" s="110">
        <f t="shared" si="9"/>
        <v>670000</v>
      </c>
      <c r="AL35" s="155">
        <f>VLOOKUP($AK35,'3-2.所得算出参照表'!$N$4:$O$11,2,TRUE)</f>
        <v>0.05</v>
      </c>
      <c r="AM35" s="110">
        <f>VLOOKUP($AK35,'3-2.所得算出参照表'!$P$4:$Q$11,2,TRUE)</f>
        <v>0</v>
      </c>
      <c r="AN35" s="110">
        <f t="shared" si="24"/>
        <v>33500</v>
      </c>
      <c r="AO35" s="110">
        <f>$AN35*'3-2.所得算出参照表'!$D$14</f>
        <v>703.5</v>
      </c>
      <c r="AP35" s="124">
        <f t="shared" si="25"/>
        <v>34200</v>
      </c>
      <c r="AQ35" s="132">
        <f>IF($AH35="",0,IF($AH35='3-2.所得算出参照表'!$B$5,'3-2.所得算出参照表'!$E$5,IF('4-1.手当等支給メニュー'!$AH35='3-2.所得算出参照表'!$B$6,'4-1.手当等支給メニュー'!$N35*'3-2.所得算出参照表'!$E$6+'3-2.所得算出参照表'!$G$6,IF('4-1.手当等支給メニュー'!$AH35='3-2.所得算出参照表'!$B$7,'4-1.手当等支給メニュー'!$N35*'3-2.所得算出参照表'!$E$7+'3-2.所得算出参照表'!$G$7,IF('4-1.手当等支給メニュー'!$AH35='3-2.所得算出参照表'!$B$8,'4-1.手当等支給メニュー'!$N35*'3-2.所得算出参照表'!$E$8+'3-2.所得算出参照表'!$G$8,IF('4-1.手当等支給メニュー'!$AH35='3-2.所得算出参照表'!$B$9,'4-1.手当等支給メニュー'!$N35*'3-2.所得算出参照表'!$E$9+'3-2.所得算出参照表'!$G$9,IF($AH35='3-2.所得算出参照表'!$B$10,'3-2.所得算出参照表'!$G$10)))))))</f>
        <v>752942.85714285716</v>
      </c>
      <c r="AR35" s="72">
        <f t="shared" si="10"/>
        <v>430000</v>
      </c>
      <c r="AS35" s="120">
        <f t="shared" si="11"/>
        <v>720000</v>
      </c>
      <c r="AT35" s="120">
        <f t="shared" si="12"/>
        <v>5500</v>
      </c>
      <c r="AU35" s="121">
        <f t="shared" si="13"/>
        <v>0.1</v>
      </c>
      <c r="AV35" s="128">
        <f t="shared" si="26"/>
        <v>75000</v>
      </c>
      <c r="AW35" s="145">
        <f t="shared" si="14"/>
        <v>1794558</v>
      </c>
    </row>
    <row r="36" spans="2:49" ht="21.95" customHeight="1" x14ac:dyDescent="0.15">
      <c r="B36" s="101">
        <v>22</v>
      </c>
      <c r="C36" s="103">
        <f t="shared" si="0"/>
        <v>1000</v>
      </c>
      <c r="D36" s="454">
        <f t="shared" si="1"/>
        <v>88</v>
      </c>
      <c r="E36" s="468">
        <f>IF($E$4="","",IF(AND($I36&gt;=20,$D36=88,'4-1.参照シートー２'!$R36&lt;=104000),($P36+$V36)*$G$12,0))</f>
        <v>0</v>
      </c>
      <c r="F36" s="503">
        <f>IF('4-1.参照シートー２'!$G36="","",'4-1.参照シートー２'!$G36)</f>
        <v>28500</v>
      </c>
      <c r="G36" s="469">
        <f>IF($E$4="","",IF(AND($I36&gt;=20,$D36=88,$R36&gt;104000),('4-1.参照シートー２'!$R36+$V36)*$G$12,0))</f>
        <v>28500</v>
      </c>
      <c r="H36" s="447">
        <f t="shared" si="27"/>
        <v>21</v>
      </c>
      <c r="I36" s="85">
        <f t="shared" si="28"/>
        <v>37</v>
      </c>
      <c r="J36" s="198">
        <f t="shared" si="2"/>
        <v>1929.2857142857142</v>
      </c>
      <c r="K36" s="383">
        <f t="shared" si="15"/>
        <v>160773.80952380953</v>
      </c>
      <c r="L36" s="198">
        <f t="shared" si="16"/>
        <v>189273.80952380953</v>
      </c>
      <c r="M36" s="458">
        <f t="shared" si="17"/>
        <v>191273.80952380953</v>
      </c>
      <c r="N36" s="98">
        <f t="shared" si="18"/>
        <v>2295285.7142857146</v>
      </c>
      <c r="O36" s="517">
        <f t="shared" si="19"/>
        <v>165273.80952380953</v>
      </c>
      <c r="P36" s="514">
        <f>IF($E$4="",0,IF($O36=0,0,VLOOKUP($O36,'3-1.標準報酬月額・保険料表'!$N$8:$O$57,2,TRUE)))</f>
        <v>170000</v>
      </c>
      <c r="Q36" s="515">
        <f t="shared" si="3"/>
        <v>193773.80952380953</v>
      </c>
      <c r="R36" s="518">
        <f>IF($E$4="",0,IF($Q36=0,0,VLOOKUP($Q36,'3-1.標準報酬月額・保険料表'!$N$8:$O$57,2,TRUE)))</f>
        <v>190000</v>
      </c>
      <c r="S36" s="381">
        <f t="shared" si="20"/>
        <v>193773.80952380953</v>
      </c>
      <c r="T36" s="474">
        <f>IF($E$4="",0,IF($S36=0,0,VLOOKUP($S36,'3-1.標準報酬月額・保険料表'!$N$8:$O$57,2,TRUE)))</f>
        <v>190000</v>
      </c>
      <c r="U36" s="473">
        <f t="shared" si="4"/>
        <v>0</v>
      </c>
      <c r="V36" s="461">
        <f t="shared" si="5"/>
        <v>0</v>
      </c>
      <c r="W36" s="187">
        <f t="shared" si="6"/>
        <v>160773.80952380953</v>
      </c>
      <c r="X36" s="61">
        <f>IF($E$4="",0,IF($I36&lt;20,0,IF($X$13="",0,IF($X$13=2,0,IF($W36&lt;$Y$13,0,IF($T36&lt;=620000,VLOOKUP($T36,'3-1.標準報酬月額・保険料表'!$D$8:$L$42,9,FALSE),'3-1.標準報酬月額・保険料表'!$L$42)+ROUNDDOWN($V36*$AD$7,0))))))</f>
        <v>17385</v>
      </c>
      <c r="Y36" s="50">
        <f>IF($E$4="",0,IF($I36&lt;20,0,IF($U$9="",0,IF($X$13=2,0,IF($E$10&gt;=$Z$13,0,IF($W36&lt;$Y$13,0,VLOOKUP($T36,'3-1.標準報酬月額・保険料表'!$D$8:$J$57,6,FALSE)+ROUNDDOWN($V36*$AA$7,0)))))))</f>
        <v>9775.5</v>
      </c>
      <c r="Z36" s="50">
        <f>IF($E$4="",0,IF($I36&lt;20,0,IF($X$13="",0,IF($X$13=2,0,IF($E$10&lt;$Z$13,0,IF($W36&lt;$Y$13,0,VLOOKUP($T36,'3-1.標準報酬月額・保険料表'!$D$8:$J$57,7,FALSE)+ROUNDDOWN($V36*$AB$7,0)))))))</f>
        <v>0</v>
      </c>
      <c r="AA36" s="66">
        <f t="shared" si="21"/>
        <v>27160.5</v>
      </c>
      <c r="AB36" s="71">
        <f>IF($E$4="",0,IF($AB$13="",0,IF($AB$13=1,0,IF($I36&lt;$AD$13,0,IF($N36&lt;$AC$13,0,IF($T36&lt;=620000,VLOOKUP($T36,'3-1.標準報酬月額・保険料表'!$D$8:$L$42,9,FALSE),'3-1.標準報酬月額・保険料表'!$L$42)+ROUNDDOWN($V36*$AD$7,0))))))</f>
        <v>0</v>
      </c>
      <c r="AC36" s="72">
        <f>IF($E$4="",0,IF($AB$13="",0,IF($AB$13=1,0,IF($I36&lt;$AD$13,0,IF($N36&lt;$AC$13,0,IF($E$10&gt;=$AE$13,0,VLOOKUP($T36,'3-1.標準報酬月額・保険料表'!$D$8:$J$57,6,FALSE)+ROUNDDOWN($V36*$AA$7,0)))))))</f>
        <v>0</v>
      </c>
      <c r="AD36" s="72">
        <f>IF($E$4="",0,IF($AB$13="",0,IF($AB$13=1,0,IF($I36&lt;$AD$13,0,IF($N36&lt;$AC$13,0,IF($E$10&lt;$AE$13,0,VLOOKUP($T36,'3-1.標準報酬月額・保険料表'!$D$8:$J$57,7,FALSE)+ROUNDDOWN($V36*$AB$7,0)))))))</f>
        <v>0</v>
      </c>
      <c r="AE36" s="73">
        <f t="shared" si="22"/>
        <v>0</v>
      </c>
      <c r="AF36" s="63">
        <f t="shared" si="7"/>
        <v>13771.714285714288</v>
      </c>
      <c r="AG36" s="68">
        <f t="shared" si="23"/>
        <v>339697.71428571426</v>
      </c>
      <c r="AH36" s="152">
        <f>IF($E$4="","",VLOOKUP($N36,'3-2.所得算出参照表'!K$5:L$10,2,TRUE))</f>
        <v>3600000</v>
      </c>
      <c r="AI36" s="153">
        <f>IF($AH36="",0,IF($AH36='3-2.所得算出参照表'!$B$5,'3-2.所得算出参照表'!$E$5,IF('4-1.手当等支給メニュー'!$AH36='3-2.所得算出参照表'!$B$6,'4-1.手当等支給メニュー'!$N36*'3-2.所得算出参照表'!$E$6+'3-2.所得算出参照表'!$G$6,IF('4-1.手当等支給メニュー'!$AH36='3-2.所得算出参照表'!$B$7,'4-1.手当等支給メニュー'!$N36*'3-2.所得算出参照表'!$E$7+'3-2.所得算出参照表'!$G$7,IF('4-1.手当等支給メニュー'!$AH36='3-2.所得算出参照表'!$B$8,'4-1.手当等支給メニュー'!$N36*'3-2.所得算出参照表'!$E$8+'3-2.所得算出参照表'!$G$8,IF('4-1.手当等支給メニュー'!$AH36='3-2.所得算出参照表'!$B$9,'4-1.手当等支給メニュー'!$N36*'3-2.所得算出参照表'!$E$9+'3-2.所得算出参照表'!$G$9,IF($AH36='3-2.所得算出参照表'!$B$10,'3-2.所得算出参照表'!$G$10)))))))</f>
        <v>768585.71428571432</v>
      </c>
      <c r="AJ36" s="115">
        <f t="shared" si="8"/>
        <v>480000</v>
      </c>
      <c r="AK36" s="110">
        <f t="shared" si="9"/>
        <v>707000</v>
      </c>
      <c r="AL36" s="155">
        <f>VLOOKUP($AK36,'3-2.所得算出参照表'!$N$4:$O$11,2,TRUE)</f>
        <v>0.05</v>
      </c>
      <c r="AM36" s="110">
        <f>VLOOKUP($AK36,'3-2.所得算出参照表'!$P$4:$Q$11,2,TRUE)</f>
        <v>0</v>
      </c>
      <c r="AN36" s="110">
        <f t="shared" si="24"/>
        <v>35350</v>
      </c>
      <c r="AO36" s="110">
        <f>$AN36*'3-2.所得算出参照表'!$D$14</f>
        <v>742.35</v>
      </c>
      <c r="AP36" s="124">
        <f t="shared" si="25"/>
        <v>36000</v>
      </c>
      <c r="AQ36" s="132">
        <f>IF($AH36="",0,IF($AH36='3-2.所得算出参照表'!$B$5,'3-2.所得算出参照表'!$E$5,IF('4-1.手当等支給メニュー'!$AH36='3-2.所得算出参照表'!$B$6,'4-1.手当等支給メニュー'!$N36*'3-2.所得算出参照表'!$E$6+'3-2.所得算出参照表'!$G$6,IF('4-1.手当等支給メニュー'!$AH36='3-2.所得算出参照表'!$B$7,'4-1.手当等支給メニュー'!$N36*'3-2.所得算出参照表'!$E$7+'3-2.所得算出参照表'!$G$7,IF('4-1.手当等支給メニュー'!$AH36='3-2.所得算出参照表'!$B$8,'4-1.手当等支給メニュー'!$N36*'3-2.所得算出参照表'!$E$8+'3-2.所得算出参照表'!$G$8,IF('4-1.手当等支給メニュー'!$AH36='3-2.所得算出参照表'!$B$9,'4-1.手当等支給メニュー'!$N36*'3-2.所得算出参照表'!$E$9+'3-2.所得算出参照表'!$G$9,IF($AH36='3-2.所得算出参照表'!$B$10,'3-2.所得算出参照表'!$G$10)))))))</f>
        <v>768585.71428571432</v>
      </c>
      <c r="AR36" s="72">
        <f t="shared" si="10"/>
        <v>430000</v>
      </c>
      <c r="AS36" s="120">
        <f t="shared" si="11"/>
        <v>757000</v>
      </c>
      <c r="AT36" s="120">
        <f t="shared" si="12"/>
        <v>5500</v>
      </c>
      <c r="AU36" s="121">
        <f t="shared" si="13"/>
        <v>0.1</v>
      </c>
      <c r="AV36" s="128">
        <f t="shared" si="26"/>
        <v>78700</v>
      </c>
      <c r="AW36" s="145">
        <f t="shared" si="14"/>
        <v>1840888.0000000002</v>
      </c>
    </row>
    <row r="37" spans="2:49" ht="21.95" customHeight="1" x14ac:dyDescent="0.15">
      <c r="B37" s="101">
        <v>23</v>
      </c>
      <c r="C37" s="103">
        <f t="shared" si="0"/>
        <v>1000</v>
      </c>
      <c r="D37" s="454">
        <f t="shared" si="1"/>
        <v>88</v>
      </c>
      <c r="E37" s="468">
        <f>IF($E$4="","",IF(AND($I37&gt;=20,$D37=88,'4-1.参照シートー２'!$R37&lt;=104000),($P37+$V37)*$G$12,0))</f>
        <v>0</v>
      </c>
      <c r="F37" s="503">
        <f>IF('4-1.参照シートー２'!$G37="","",'4-1.参照シートー２'!$G37)</f>
        <v>30000</v>
      </c>
      <c r="G37" s="469">
        <f>IF($E$4="","",IF(AND($I37&gt;=20,$D37=88,$R37&gt;104000),('4-1.参照シートー２'!$R37+$V37)*$G$12,0))</f>
        <v>30000</v>
      </c>
      <c r="H37" s="447">
        <f t="shared" si="27"/>
        <v>22</v>
      </c>
      <c r="I37" s="85">
        <f t="shared" si="28"/>
        <v>38</v>
      </c>
      <c r="J37" s="198">
        <f t="shared" si="2"/>
        <v>1981.4285714285713</v>
      </c>
      <c r="K37" s="383">
        <f t="shared" si="15"/>
        <v>165119.0476190476</v>
      </c>
      <c r="L37" s="198">
        <f t="shared" si="16"/>
        <v>195119.0476190476</v>
      </c>
      <c r="M37" s="458">
        <f t="shared" si="17"/>
        <v>197119.0476190476</v>
      </c>
      <c r="N37" s="98">
        <f t="shared" si="18"/>
        <v>2365428.5714285714</v>
      </c>
      <c r="O37" s="517">
        <f t="shared" si="19"/>
        <v>169619.0476190476</v>
      </c>
      <c r="P37" s="514">
        <f>IF($E$4="",0,IF($O37=0,0,VLOOKUP($O37,'3-1.標準報酬月額・保険料表'!$N$8:$O$57,2,TRUE)))</f>
        <v>170000</v>
      </c>
      <c r="Q37" s="515">
        <f t="shared" si="3"/>
        <v>199619.0476190476</v>
      </c>
      <c r="R37" s="518">
        <f>IF($E$4="",0,IF($Q37=0,0,VLOOKUP($Q37,'3-1.標準報酬月額・保険料表'!$N$8:$O$57,2,TRUE)))</f>
        <v>200000</v>
      </c>
      <c r="S37" s="381">
        <f t="shared" si="20"/>
        <v>199619.0476190476</v>
      </c>
      <c r="T37" s="474">
        <f>IF($E$4="",0,IF($S37=0,0,VLOOKUP($S37,'3-1.標準報酬月額・保険料表'!$N$8:$O$57,2,TRUE)))</f>
        <v>200000</v>
      </c>
      <c r="U37" s="473">
        <f t="shared" si="4"/>
        <v>0</v>
      </c>
      <c r="V37" s="461">
        <f t="shared" si="5"/>
        <v>0</v>
      </c>
      <c r="W37" s="187">
        <f t="shared" si="6"/>
        <v>165119.0476190476</v>
      </c>
      <c r="X37" s="61">
        <f>IF($E$4="",0,IF($I37&lt;20,0,IF($X$13="",0,IF($X$13=2,0,IF($W37&lt;$Y$13,0,IF($T37&lt;=620000,VLOOKUP($T37,'3-1.標準報酬月額・保険料表'!$D$8:$L$42,9,FALSE),'3-1.標準報酬月額・保険料表'!$L$42)+ROUNDDOWN($V37*$AD$7,0))))))</f>
        <v>18300</v>
      </c>
      <c r="Y37" s="50">
        <f>IF($E$4="",0,IF($I37&lt;20,0,IF($U$9="",0,IF($X$13=2,0,IF($E$10&gt;=$Z$13,0,IF($W37&lt;$Y$13,0,VLOOKUP($T37,'3-1.標準報酬月額・保険料表'!$D$8:$J$57,6,FALSE)+ROUNDDOWN($V37*$AA$7,0)))))))</f>
        <v>10290</v>
      </c>
      <c r="Z37" s="50">
        <f>IF($E$4="",0,IF($I37&lt;20,0,IF($X$13="",0,IF($X$13=2,0,IF($E$10&lt;$Z$13,0,IF($W37&lt;$Y$13,0,VLOOKUP($T37,'3-1.標準報酬月額・保険料表'!$D$8:$J$57,7,FALSE)+ROUNDDOWN($V37*$AB$7,0)))))))</f>
        <v>0</v>
      </c>
      <c r="AA37" s="66">
        <f t="shared" si="21"/>
        <v>28590</v>
      </c>
      <c r="AB37" s="71">
        <f>IF($E$4="",0,IF($AB$13="",0,IF($AB$13=1,0,IF($I37&lt;$AD$13,0,IF($N37&lt;$AC$13,0,IF($T37&lt;=620000,VLOOKUP($T37,'3-1.標準報酬月額・保険料表'!$D$8:$L$42,9,FALSE),'3-1.標準報酬月額・保険料表'!$L$42)+ROUNDDOWN($V37*$AD$7,0))))))</f>
        <v>0</v>
      </c>
      <c r="AC37" s="72">
        <f>IF($E$4="",0,IF($AB$13="",0,IF($AB$13=1,0,IF($I37&lt;$AD$13,0,IF($N37&lt;$AC$13,0,IF($E$10&gt;=$AE$13,0,VLOOKUP($T37,'3-1.標準報酬月額・保険料表'!$D$8:$J$57,6,FALSE)+ROUNDDOWN($V37*$AA$7,0)))))))</f>
        <v>0</v>
      </c>
      <c r="AD37" s="72">
        <f>IF($E$4="",0,IF($AB$13="",0,IF($AB$13=1,0,IF($I37&lt;$AD$13,0,IF($N37&lt;$AC$13,0,IF($E$10&lt;$AE$13,0,VLOOKUP($T37,'3-1.標準報酬月額・保険料表'!$D$8:$J$57,7,FALSE)+ROUNDDOWN($V37*$AB$7,0)))))))</f>
        <v>0</v>
      </c>
      <c r="AE37" s="73">
        <f t="shared" si="22"/>
        <v>0</v>
      </c>
      <c r="AF37" s="63">
        <f t="shared" si="7"/>
        <v>14192.571428571429</v>
      </c>
      <c r="AG37" s="68">
        <f t="shared" si="23"/>
        <v>357272.57142857142</v>
      </c>
      <c r="AH37" s="152">
        <f>IF($E$4="","",VLOOKUP($N37,'3-2.所得算出参照表'!K$5:L$10,2,TRUE))</f>
        <v>3600000</v>
      </c>
      <c r="AI37" s="153">
        <f>IF($AH37="",0,IF($AH37='3-2.所得算出参照表'!$B$5,'3-2.所得算出参照表'!$E$5,IF('4-1.手当等支給メニュー'!$AH37='3-2.所得算出参照表'!$B$6,'4-1.手当等支給メニュー'!$N37*'3-2.所得算出参照表'!$E$6+'3-2.所得算出参照表'!$G$6,IF('4-1.手当等支給メニュー'!$AH37='3-2.所得算出参照表'!$B$7,'4-1.手当等支給メニュー'!$N37*'3-2.所得算出参照表'!$E$7+'3-2.所得算出参照表'!$G$7,IF('4-1.手当等支給メニュー'!$AH37='3-2.所得算出参照表'!$B$8,'4-1.手当等支給メニュー'!$N37*'3-2.所得算出参照表'!$E$8+'3-2.所得算出参照表'!$G$8,IF('4-1.手当等支給メニュー'!$AH37='3-2.所得算出参照表'!$B$9,'4-1.手当等支給メニュー'!$N37*'3-2.所得算出参照表'!$E$9+'3-2.所得算出参照表'!$G$9,IF($AH37='3-2.所得算出参照表'!$B$10,'3-2.所得算出参照表'!$G$10)))))))</f>
        <v>789628.57142857136</v>
      </c>
      <c r="AJ37" s="115">
        <f t="shared" si="8"/>
        <v>480000</v>
      </c>
      <c r="AK37" s="110">
        <f t="shared" si="9"/>
        <v>738000</v>
      </c>
      <c r="AL37" s="155">
        <f>VLOOKUP($AK37,'3-2.所得算出参照表'!$N$4:$O$11,2,TRUE)</f>
        <v>0.05</v>
      </c>
      <c r="AM37" s="110">
        <f>VLOOKUP($AK37,'3-2.所得算出参照表'!$P$4:$Q$11,2,TRUE)</f>
        <v>0</v>
      </c>
      <c r="AN37" s="110">
        <f t="shared" si="24"/>
        <v>36900</v>
      </c>
      <c r="AO37" s="110">
        <f>$AN37*'3-2.所得算出参照表'!$D$14</f>
        <v>774.90000000000009</v>
      </c>
      <c r="AP37" s="124">
        <f t="shared" si="25"/>
        <v>37600</v>
      </c>
      <c r="AQ37" s="132">
        <f>IF($AH37="",0,IF($AH37='3-2.所得算出参照表'!$B$5,'3-2.所得算出参照表'!$E$5,IF('4-1.手当等支給メニュー'!$AH37='3-2.所得算出参照表'!$B$6,'4-1.手当等支給メニュー'!$N37*'3-2.所得算出参照表'!$E$6+'3-2.所得算出参照表'!$G$6,IF('4-1.手当等支給メニュー'!$AH37='3-2.所得算出参照表'!$B$7,'4-1.手当等支給メニュー'!$N37*'3-2.所得算出参照表'!$E$7+'3-2.所得算出参照表'!$G$7,IF('4-1.手当等支給メニュー'!$AH37='3-2.所得算出参照表'!$B$8,'4-1.手当等支給メニュー'!$N37*'3-2.所得算出参照表'!$E$8+'3-2.所得算出参照表'!$G$8,IF('4-1.手当等支給メニュー'!$AH37='3-2.所得算出参照表'!$B$9,'4-1.手当等支給メニュー'!$N37*'3-2.所得算出参照表'!$E$9+'3-2.所得算出参照表'!$G$9,IF($AH37='3-2.所得算出参照表'!$B$10,'3-2.所得算出参照表'!$G$10)))))))</f>
        <v>789628.57142857136</v>
      </c>
      <c r="AR37" s="72">
        <f t="shared" si="10"/>
        <v>430000</v>
      </c>
      <c r="AS37" s="120">
        <f t="shared" si="11"/>
        <v>788000</v>
      </c>
      <c r="AT37" s="120">
        <f t="shared" si="12"/>
        <v>5500</v>
      </c>
      <c r="AU37" s="121">
        <f t="shared" si="13"/>
        <v>0.1</v>
      </c>
      <c r="AV37" s="128">
        <f t="shared" si="26"/>
        <v>81800</v>
      </c>
      <c r="AW37" s="145">
        <f t="shared" si="14"/>
        <v>1888756</v>
      </c>
    </row>
    <row r="38" spans="2:49" ht="21.95" customHeight="1" x14ac:dyDescent="0.15">
      <c r="B38" s="101">
        <v>24</v>
      </c>
      <c r="C38" s="103">
        <f t="shared" si="0"/>
        <v>1000</v>
      </c>
      <c r="D38" s="454">
        <f t="shared" si="1"/>
        <v>88</v>
      </c>
      <c r="E38" s="468">
        <f>IF($E$4="","",IF(AND($I38&gt;=20,$D38=88,'4-1.参照シートー２'!$R38&lt;=104000),($P38+$V38)*$G$12,0))</f>
        <v>0</v>
      </c>
      <c r="F38" s="503">
        <f>IF('4-1.参照シートー２'!$G38="","",'4-1.参照シートー２'!$G38)</f>
        <v>30000</v>
      </c>
      <c r="G38" s="469">
        <f>IF($E$4="","",IF(AND($I38&gt;=20,$D38=88,$R38&gt;104000),('4-1.参照シートー２'!$R38+$V38)*$G$12,0))</f>
        <v>30000</v>
      </c>
      <c r="H38" s="447">
        <f t="shared" si="27"/>
        <v>23</v>
      </c>
      <c r="I38" s="85">
        <f t="shared" si="28"/>
        <v>39</v>
      </c>
      <c r="J38" s="198">
        <f t="shared" si="2"/>
        <v>2033.5714285714287</v>
      </c>
      <c r="K38" s="383">
        <f t="shared" si="15"/>
        <v>169464.28571428571</v>
      </c>
      <c r="L38" s="198">
        <f t="shared" si="16"/>
        <v>199464.28571428571</v>
      </c>
      <c r="M38" s="458">
        <f t="shared" si="17"/>
        <v>201464.28571428571</v>
      </c>
      <c r="N38" s="98">
        <f t="shared" si="18"/>
        <v>2417571.4285714286</v>
      </c>
      <c r="O38" s="517">
        <f t="shared" si="19"/>
        <v>173964.28571428571</v>
      </c>
      <c r="P38" s="514">
        <f>IF($E$4="",0,IF($O38=0,0,VLOOKUP($O38,'3-1.標準報酬月額・保険料表'!$N$8:$O$57,2,TRUE)))</f>
        <v>170000</v>
      </c>
      <c r="Q38" s="515">
        <f t="shared" si="3"/>
        <v>203964.28571428571</v>
      </c>
      <c r="R38" s="518">
        <f>IF($E$4="",0,IF($Q38=0,0,VLOOKUP($Q38,'3-1.標準報酬月額・保険料表'!$N$8:$O$57,2,TRUE)))</f>
        <v>200000</v>
      </c>
      <c r="S38" s="381">
        <f t="shared" si="20"/>
        <v>203964.28571428571</v>
      </c>
      <c r="T38" s="474">
        <f>IF($E$4="",0,IF($S38=0,0,VLOOKUP($S38,'3-1.標準報酬月額・保険料表'!$N$8:$O$57,2,TRUE)))</f>
        <v>200000</v>
      </c>
      <c r="U38" s="473">
        <f t="shared" si="4"/>
        <v>0</v>
      </c>
      <c r="V38" s="461">
        <f t="shared" si="5"/>
        <v>0</v>
      </c>
      <c r="W38" s="187">
        <f t="shared" si="6"/>
        <v>169464.28571428571</v>
      </c>
      <c r="X38" s="61">
        <f>IF($E$4="",0,IF($I38&lt;20,0,IF($X$13="",0,IF($X$13=2,0,IF($W38&lt;$Y$13,0,IF($T38&lt;=620000,VLOOKUP($T38,'3-1.標準報酬月額・保険料表'!$D$8:$L$42,9,FALSE),'3-1.標準報酬月額・保険料表'!$L$42)+ROUNDDOWN($V38*$AD$7,0))))))</f>
        <v>18300</v>
      </c>
      <c r="Y38" s="50">
        <f>IF($E$4="",0,IF($I38&lt;20,0,IF($U$9="",0,IF($X$13=2,0,IF($E$10&gt;=$Z$13,0,IF($W38&lt;$Y$13,0,VLOOKUP($T38,'3-1.標準報酬月額・保険料表'!$D$8:$J$57,6,FALSE)+ROUNDDOWN($V38*$AA$7,0)))))))</f>
        <v>10290</v>
      </c>
      <c r="Z38" s="50">
        <f>IF($E$4="",0,IF($I38&lt;20,0,IF($X$13="",0,IF($X$13=2,0,IF($E$10&lt;$Z$13,0,IF($W38&lt;$Y$13,0,VLOOKUP($T38,'3-1.標準報酬月額・保険料表'!$D$8:$J$57,7,FALSE)+ROUNDDOWN($V38*$AB$7,0)))))))</f>
        <v>0</v>
      </c>
      <c r="AA38" s="66">
        <f t="shared" si="21"/>
        <v>28590</v>
      </c>
      <c r="AB38" s="71">
        <f>IF($E$4="",0,IF($AB$13="",0,IF($AB$13=1,0,IF($I38&lt;$AD$13,0,IF($N38&lt;$AC$13,0,IF($T38&lt;=620000,VLOOKUP($T38,'3-1.標準報酬月額・保険料表'!$D$8:$L$42,9,FALSE),'3-1.標準報酬月額・保険料表'!$L$42)+ROUNDDOWN($V38*$AD$7,0))))))</f>
        <v>0</v>
      </c>
      <c r="AC38" s="72">
        <f>IF($E$4="",0,IF($AB$13="",0,IF($AB$13=1,0,IF($I38&lt;$AD$13,0,IF($N38&lt;$AC$13,0,IF($E$10&gt;=$AE$13,0,VLOOKUP($T38,'3-1.標準報酬月額・保険料表'!$D$8:$J$57,6,FALSE)+ROUNDDOWN($V38*$AA$7,0)))))))</f>
        <v>0</v>
      </c>
      <c r="AD38" s="72">
        <f>IF($E$4="",0,IF($AB$13="",0,IF($AB$13=1,0,IF($I38&lt;$AD$13,0,IF($N38&lt;$AC$13,0,IF($E$10&lt;$AE$13,0,VLOOKUP($T38,'3-1.標準報酬月額・保険料表'!$D$8:$J$57,7,FALSE)+ROUNDDOWN($V38*$AB$7,0)))))))</f>
        <v>0</v>
      </c>
      <c r="AE38" s="73">
        <f t="shared" si="22"/>
        <v>0</v>
      </c>
      <c r="AF38" s="63">
        <f t="shared" si="7"/>
        <v>14505.428571428572</v>
      </c>
      <c r="AG38" s="68">
        <f t="shared" si="23"/>
        <v>357585.42857142858</v>
      </c>
      <c r="AH38" s="152">
        <f>IF($E$4="","",VLOOKUP($N38,'3-2.所得算出参照表'!K$5:L$10,2,TRUE))</f>
        <v>3600000</v>
      </c>
      <c r="AI38" s="153">
        <f>IF($AH38="",0,IF($AH38='3-2.所得算出参照表'!$B$5,'3-2.所得算出参照表'!$E$5,IF('4-1.手当等支給メニュー'!$AH38='3-2.所得算出参照表'!$B$6,'4-1.手当等支給メニュー'!$N38*'3-2.所得算出参照表'!$E$6+'3-2.所得算出参照表'!$G$6,IF('4-1.手当等支給メニュー'!$AH38='3-2.所得算出参照表'!$B$7,'4-1.手当等支給メニュー'!$N38*'3-2.所得算出参照表'!$E$7+'3-2.所得算出参照表'!$G$7,IF('4-1.手当等支給メニュー'!$AH38='3-2.所得算出参照表'!$B$8,'4-1.手当等支給メニュー'!$N38*'3-2.所得算出参照表'!$E$8+'3-2.所得算出参照表'!$G$8,IF('4-1.手当等支給メニュー'!$AH38='3-2.所得算出参照表'!$B$9,'4-1.手当等支給メニュー'!$N38*'3-2.所得算出参照表'!$E$9+'3-2.所得算出参照表'!$G$9,IF($AH38='3-2.所得算出参照表'!$B$10,'3-2.所得算出参照表'!$G$10)))))))</f>
        <v>805271.42857142852</v>
      </c>
      <c r="AJ38" s="115">
        <f t="shared" si="8"/>
        <v>480000</v>
      </c>
      <c r="AK38" s="110">
        <f t="shared" si="9"/>
        <v>774000</v>
      </c>
      <c r="AL38" s="155">
        <f>VLOOKUP($AK38,'3-2.所得算出参照表'!$N$4:$O$11,2,TRUE)</f>
        <v>0.05</v>
      </c>
      <c r="AM38" s="110">
        <f>VLOOKUP($AK38,'3-2.所得算出参照表'!$P$4:$Q$11,2,TRUE)</f>
        <v>0</v>
      </c>
      <c r="AN38" s="110">
        <f t="shared" si="24"/>
        <v>38700</v>
      </c>
      <c r="AO38" s="110">
        <f>$AN38*'3-2.所得算出参照表'!$D$14</f>
        <v>812.7</v>
      </c>
      <c r="AP38" s="124">
        <f t="shared" si="25"/>
        <v>39500</v>
      </c>
      <c r="AQ38" s="132">
        <f>IF($AH38="",0,IF($AH38='3-2.所得算出参照表'!$B$5,'3-2.所得算出参照表'!$E$5,IF('4-1.手当等支給メニュー'!$AH38='3-2.所得算出参照表'!$B$6,'4-1.手当等支給メニュー'!$N38*'3-2.所得算出参照表'!$E$6+'3-2.所得算出参照表'!$G$6,IF('4-1.手当等支給メニュー'!$AH38='3-2.所得算出参照表'!$B$7,'4-1.手当等支給メニュー'!$N38*'3-2.所得算出参照表'!$E$7+'3-2.所得算出参照表'!$G$7,IF('4-1.手当等支給メニュー'!$AH38='3-2.所得算出参照表'!$B$8,'4-1.手当等支給メニュー'!$N38*'3-2.所得算出参照表'!$E$8+'3-2.所得算出参照表'!$G$8,IF('4-1.手当等支給メニュー'!$AH38='3-2.所得算出参照表'!$B$9,'4-1.手当等支給メニュー'!$N38*'3-2.所得算出参照表'!$E$9+'3-2.所得算出参照表'!$G$9,IF($AH38='3-2.所得算出参照表'!$B$10,'3-2.所得算出参照表'!$G$10)))))))</f>
        <v>805271.42857142852</v>
      </c>
      <c r="AR38" s="72">
        <f t="shared" si="10"/>
        <v>430000</v>
      </c>
      <c r="AS38" s="120">
        <f t="shared" si="11"/>
        <v>824000</v>
      </c>
      <c r="AT38" s="120">
        <f t="shared" si="12"/>
        <v>5500</v>
      </c>
      <c r="AU38" s="121">
        <f t="shared" si="13"/>
        <v>0.1</v>
      </c>
      <c r="AV38" s="128">
        <f t="shared" si="26"/>
        <v>85400</v>
      </c>
      <c r="AW38" s="145">
        <f t="shared" si="14"/>
        <v>1935086</v>
      </c>
    </row>
    <row r="39" spans="2:49" ht="21.95" customHeight="1" x14ac:dyDescent="0.15">
      <c r="B39" s="101">
        <v>25</v>
      </c>
      <c r="C39" s="103" t="str">
        <f t="shared" si="0"/>
        <v/>
      </c>
      <c r="D39" s="454" t="str">
        <f t="shared" si="1"/>
        <v/>
      </c>
      <c r="E39" s="468">
        <f>IF($E$4="","",IF(AND($I39&gt;=20,$D39=88,'4-1.参照シートー２'!$R39&lt;=104000),($P39+$V39)*$G$12,0))</f>
        <v>0</v>
      </c>
      <c r="F39" s="503">
        <f>IF('4-1.参照シートー２'!$G39="","",'4-1.参照シートー２'!$G39)</f>
        <v>0</v>
      </c>
      <c r="G39" s="469">
        <f>IF($E$4="","",IF(AND($I39&gt;=20,$D39=88,$R39&gt;104000),('4-1.参照シートー２'!$R39+$V39)*$G$12,0))</f>
        <v>0</v>
      </c>
      <c r="H39" s="447" t="str">
        <f t="shared" si="27"/>
        <v/>
      </c>
      <c r="I39" s="85" t="str">
        <f t="shared" si="28"/>
        <v/>
      </c>
      <c r="J39" s="198" t="str">
        <f t="shared" si="2"/>
        <v/>
      </c>
      <c r="K39" s="383">
        <f t="shared" si="15"/>
        <v>0</v>
      </c>
      <c r="L39" s="198">
        <f t="shared" si="16"/>
        <v>0</v>
      </c>
      <c r="M39" s="458">
        <f t="shared" si="17"/>
        <v>0</v>
      </c>
      <c r="N39" s="98">
        <f t="shared" si="18"/>
        <v>0</v>
      </c>
      <c r="O39" s="517">
        <f t="shared" si="19"/>
        <v>0</v>
      </c>
      <c r="P39" s="514">
        <f>IF($E$4="",0,IF($O39=0,0,VLOOKUP($O39,'3-1.標準報酬月額・保険料表'!$N$8:$O$57,2,TRUE)))</f>
        <v>0</v>
      </c>
      <c r="Q39" s="515">
        <f t="shared" si="3"/>
        <v>0</v>
      </c>
      <c r="R39" s="518">
        <f>IF($E$4="",0,IF($Q39=0,0,VLOOKUP($Q39,'3-1.標準報酬月額・保険料表'!$N$8:$O$57,2,TRUE)))</f>
        <v>0</v>
      </c>
      <c r="S39" s="381">
        <f t="shared" si="20"/>
        <v>0</v>
      </c>
      <c r="T39" s="474">
        <f>IF($E$4="",0,IF($S39=0,0,VLOOKUP($S39,'3-1.標準報酬月額・保険料表'!$N$8:$O$57,2,TRUE)))</f>
        <v>0</v>
      </c>
      <c r="U39" s="473">
        <f t="shared" si="4"/>
        <v>0</v>
      </c>
      <c r="V39" s="461">
        <f t="shared" si="5"/>
        <v>0</v>
      </c>
      <c r="W39" s="187">
        <f t="shared" si="6"/>
        <v>0</v>
      </c>
      <c r="X39" s="61">
        <f>IF($E$4="",0,IF($I39&lt;20,0,IF($X$13="",0,IF($X$13=2,0,IF($W39&lt;$Y$13,0,IF($T39&lt;=620000,VLOOKUP($T39,'3-1.標準報酬月額・保険料表'!$D$8:$L$42,9,FALSE),'3-1.標準報酬月額・保険料表'!$L$42)+ROUNDDOWN($V39*$AD$7,0))))))</f>
        <v>0</v>
      </c>
      <c r="Y39" s="50">
        <f>IF($E$4="",0,IF($I39&lt;20,0,IF($U$9="",0,IF($X$13=2,0,IF($E$10&gt;=$Z$13,0,IF($W39&lt;$Y$13,0,VLOOKUP($T39,'3-1.標準報酬月額・保険料表'!$D$8:$J$57,6,FALSE)+ROUNDDOWN($V39*$AA$7,0)))))))</f>
        <v>0</v>
      </c>
      <c r="Z39" s="50">
        <f>IF($E$4="",0,IF($I39&lt;20,0,IF($X$13="",0,IF($X$13=2,0,IF($E$10&lt;$Z$13,0,IF($W39&lt;$Y$13,0,VLOOKUP($T39,'3-1.標準報酬月額・保険料表'!$D$8:$J$57,7,FALSE)+ROUNDDOWN($V39*$AB$7,0)))))))</f>
        <v>0</v>
      </c>
      <c r="AA39" s="66">
        <f t="shared" si="21"/>
        <v>0</v>
      </c>
      <c r="AB39" s="71">
        <f>IF($E$4="",0,IF($AB$13="",0,IF($AB$13=1,0,IF($I39&lt;$AD$13,0,IF($N39&lt;$AC$13,0,IF($T39&lt;=620000,VLOOKUP($T39,'3-1.標準報酬月額・保険料表'!$D$8:$L$42,9,FALSE),'3-1.標準報酬月額・保険料表'!$L$42)+ROUNDDOWN($V39*$AD$7,0))))))</f>
        <v>0</v>
      </c>
      <c r="AC39" s="72">
        <f>IF($E$4="",0,IF($AB$13="",0,IF($AB$13=1,0,IF($I39&lt;$AD$13,0,IF($N39&lt;$AC$13,0,IF($E$10&gt;=$AE$13,0,VLOOKUP($T39,'3-1.標準報酬月額・保険料表'!$D$8:$J$57,6,FALSE)+ROUNDDOWN($V39*$AA$7,0)))))))</f>
        <v>0</v>
      </c>
      <c r="AD39" s="72">
        <f>IF($E$4="",0,IF($AB$13="",0,IF($AB$13=1,0,IF($I39&lt;$AD$13,0,IF($N39&lt;$AC$13,0,IF($E$10&lt;$AE$13,0,VLOOKUP($T39,'3-1.標準報酬月額・保険料表'!$D$8:$J$57,7,FALSE)+ROUNDDOWN($V39*$AB$7,0)))))))</f>
        <v>0</v>
      </c>
      <c r="AE39" s="73">
        <f t="shared" si="22"/>
        <v>0</v>
      </c>
      <c r="AF39" s="63">
        <f t="shared" si="7"/>
        <v>0</v>
      </c>
      <c r="AG39" s="68">
        <f t="shared" si="23"/>
        <v>0</v>
      </c>
      <c r="AH39" s="152">
        <f>IF($E$4="","",VLOOKUP($N39,'3-2.所得算出参照表'!K$5:L$10,2,TRUE))</f>
        <v>1625000</v>
      </c>
      <c r="AI39" s="153">
        <f>IF($AH39="",0,IF($AH39='3-2.所得算出参照表'!$B$5,'3-2.所得算出参照表'!$E$5,IF('4-1.手当等支給メニュー'!$AH39='3-2.所得算出参照表'!$B$6,'4-1.手当等支給メニュー'!$N39*'3-2.所得算出参照表'!$E$6+'3-2.所得算出参照表'!$G$6,IF('4-1.手当等支給メニュー'!$AH39='3-2.所得算出参照表'!$B$7,'4-1.手当等支給メニュー'!$N39*'3-2.所得算出参照表'!$E$7+'3-2.所得算出参照表'!$G$7,IF('4-1.手当等支給メニュー'!$AH39='3-2.所得算出参照表'!$B$8,'4-1.手当等支給メニュー'!$N39*'3-2.所得算出参照表'!$E$8+'3-2.所得算出参照表'!$G$8,IF('4-1.手当等支給メニュー'!$AH39='3-2.所得算出参照表'!$B$9,'4-1.手当等支給メニュー'!$N39*'3-2.所得算出参照表'!$E$9+'3-2.所得算出参照表'!$G$9,IF($AH39='3-2.所得算出参照表'!$B$10,'3-2.所得算出参照表'!$G$10)))))))</f>
        <v>550000</v>
      </c>
      <c r="AJ39" s="115">
        <f t="shared" si="8"/>
        <v>480000</v>
      </c>
      <c r="AK39" s="110">
        <f t="shared" si="9"/>
        <v>0</v>
      </c>
      <c r="AL39" s="155">
        <f>VLOOKUP($AK39,'3-2.所得算出参照表'!$N$4:$O$11,2,TRUE)</f>
        <v>0</v>
      </c>
      <c r="AM39" s="110">
        <f>VLOOKUP($AK39,'3-2.所得算出参照表'!$P$4:$Q$11,2,TRUE)</f>
        <v>0</v>
      </c>
      <c r="AN39" s="110">
        <f t="shared" si="24"/>
        <v>0</v>
      </c>
      <c r="AO39" s="110">
        <f>$AN39*'3-2.所得算出参照表'!$D$14</f>
        <v>0</v>
      </c>
      <c r="AP39" s="124">
        <f t="shared" si="25"/>
        <v>0</v>
      </c>
      <c r="AQ39" s="132">
        <f>IF($AH39="",0,IF($AH39='3-2.所得算出参照表'!$B$5,'3-2.所得算出参照表'!$E$5,IF('4-1.手当等支給メニュー'!$AH39='3-2.所得算出参照表'!$B$6,'4-1.手当等支給メニュー'!$N39*'3-2.所得算出参照表'!$E$6+'3-2.所得算出参照表'!$G$6,IF('4-1.手当等支給メニュー'!$AH39='3-2.所得算出参照表'!$B$7,'4-1.手当等支給メニュー'!$N39*'3-2.所得算出参照表'!$E$7+'3-2.所得算出参照表'!$G$7,IF('4-1.手当等支給メニュー'!$AH39='3-2.所得算出参照表'!$B$8,'4-1.手当等支給メニュー'!$N39*'3-2.所得算出参照表'!$E$8+'3-2.所得算出参照表'!$G$8,IF('4-1.手当等支給メニュー'!$AH39='3-2.所得算出参照表'!$B$9,'4-1.手当等支給メニュー'!$N39*'3-2.所得算出参照表'!$E$9+'3-2.所得算出参照表'!$G$9,IF($AH39='3-2.所得算出参照表'!$B$10,'3-2.所得算出参照表'!$G$10)))))))</f>
        <v>550000</v>
      </c>
      <c r="AR39" s="72">
        <f t="shared" si="10"/>
        <v>430000</v>
      </c>
      <c r="AS39" s="120">
        <f t="shared" si="11"/>
        <v>0</v>
      </c>
      <c r="AT39" s="120">
        <f t="shared" si="12"/>
        <v>0</v>
      </c>
      <c r="AU39" s="121">
        <f t="shared" si="13"/>
        <v>0</v>
      </c>
      <c r="AV39" s="128">
        <f t="shared" si="26"/>
        <v>0</v>
      </c>
      <c r="AW39" s="145">
        <f t="shared" si="14"/>
        <v>0</v>
      </c>
    </row>
    <row r="40" spans="2:49" ht="21.95" customHeight="1" x14ac:dyDescent="0.15">
      <c r="B40" s="101">
        <v>26</v>
      </c>
      <c r="C40" s="103" t="str">
        <f t="shared" si="0"/>
        <v/>
      </c>
      <c r="D40" s="454" t="str">
        <f t="shared" si="1"/>
        <v/>
      </c>
      <c r="E40" s="468">
        <f>IF($E$4="","",IF(AND($I40&gt;=20,$D40=88,'4-1.参照シートー２'!$R40&lt;=104000),($P40+$V40)*$G$12,0))</f>
        <v>0</v>
      </c>
      <c r="F40" s="503">
        <f>IF('4-1.参照シートー２'!$G40="","",'4-1.参照シートー２'!$G40)</f>
        <v>0</v>
      </c>
      <c r="G40" s="469">
        <f>IF($E$4="","",IF(AND($I40&gt;=20,$D40=88,$R40&gt;104000),('4-1.参照シートー２'!$R40+$V40)*$G$12,0))</f>
        <v>0</v>
      </c>
      <c r="H40" s="447" t="str">
        <f t="shared" si="27"/>
        <v/>
      </c>
      <c r="I40" s="85" t="str">
        <f t="shared" si="28"/>
        <v/>
      </c>
      <c r="J40" s="198" t="str">
        <f t="shared" si="2"/>
        <v/>
      </c>
      <c r="K40" s="383">
        <f t="shared" si="15"/>
        <v>0</v>
      </c>
      <c r="L40" s="198">
        <f t="shared" si="16"/>
        <v>0</v>
      </c>
      <c r="M40" s="458">
        <f t="shared" si="17"/>
        <v>0</v>
      </c>
      <c r="N40" s="98">
        <f t="shared" si="18"/>
        <v>0</v>
      </c>
      <c r="O40" s="517">
        <f t="shared" si="19"/>
        <v>0</v>
      </c>
      <c r="P40" s="514">
        <f>IF($E$4="",0,IF($O40=0,0,VLOOKUP($O40,'3-1.標準報酬月額・保険料表'!$N$8:$O$57,2,TRUE)))</f>
        <v>0</v>
      </c>
      <c r="Q40" s="515">
        <f t="shared" si="3"/>
        <v>0</v>
      </c>
      <c r="R40" s="518">
        <f>IF($E$4="",0,IF($Q40=0,0,VLOOKUP($Q40,'3-1.標準報酬月額・保険料表'!$N$8:$O$57,2,TRUE)))</f>
        <v>0</v>
      </c>
      <c r="S40" s="381">
        <f t="shared" si="20"/>
        <v>0</v>
      </c>
      <c r="T40" s="474">
        <f>IF($E$4="",0,IF($S40=0,0,VLOOKUP($S40,'3-1.標準報酬月額・保険料表'!$N$8:$O$57,2,TRUE)))</f>
        <v>0</v>
      </c>
      <c r="U40" s="473">
        <f t="shared" si="4"/>
        <v>0</v>
      </c>
      <c r="V40" s="461">
        <f t="shared" si="5"/>
        <v>0</v>
      </c>
      <c r="W40" s="187">
        <f t="shared" si="6"/>
        <v>0</v>
      </c>
      <c r="X40" s="61">
        <f>IF($E$4="",0,IF($I40&lt;20,0,IF($X$13="",0,IF($X$13=2,0,IF($W40&lt;$Y$13,0,IF($T40&lt;=620000,VLOOKUP($T40,'3-1.標準報酬月額・保険料表'!$D$8:$L$42,9,FALSE),'3-1.標準報酬月額・保険料表'!$L$42)+ROUNDDOWN($V40*$AD$7,0))))))</f>
        <v>0</v>
      </c>
      <c r="Y40" s="50">
        <f>IF($E$4="",0,IF($I40&lt;20,0,IF($U$9="",0,IF($X$13=2,0,IF($E$10&gt;=$Z$13,0,IF($W40&lt;$Y$13,0,VLOOKUP($T40,'3-1.標準報酬月額・保険料表'!$D$8:$J$57,6,FALSE)+ROUNDDOWN($V40*$AA$7,0)))))))</f>
        <v>0</v>
      </c>
      <c r="Z40" s="50">
        <f>IF($E$4="",0,IF($I40&lt;20,0,IF($X$13="",0,IF($X$13=2,0,IF($E$10&lt;$Z$13,0,IF($W40&lt;$Y$13,0,VLOOKUP($T40,'3-1.標準報酬月額・保険料表'!$D$8:$J$57,7,FALSE)+ROUNDDOWN($V40*$AB$7,0)))))))</f>
        <v>0</v>
      </c>
      <c r="AA40" s="66">
        <f t="shared" si="21"/>
        <v>0</v>
      </c>
      <c r="AB40" s="71">
        <f>IF($E$4="",0,IF($AB$13="",0,IF($AB$13=1,0,IF($I40&lt;$AD$13,0,IF($N40&lt;$AC$13,0,IF($T40&lt;=620000,VLOOKUP($T40,'3-1.標準報酬月額・保険料表'!$D$8:$L$42,9,FALSE),'3-1.標準報酬月額・保険料表'!$L$42)+ROUNDDOWN($V40*$AD$7,0))))))</f>
        <v>0</v>
      </c>
      <c r="AC40" s="72">
        <f>IF($E$4="",0,IF($AB$13="",0,IF($AB$13=1,0,IF($I40&lt;$AD$13,0,IF($N40&lt;$AC$13,0,IF($E$10&gt;=$AE$13,0,VLOOKUP($T40,'3-1.標準報酬月額・保険料表'!$D$8:$J$57,6,FALSE)+ROUNDDOWN($V40*$AA$7,0)))))))</f>
        <v>0</v>
      </c>
      <c r="AD40" s="72">
        <f>IF($E$4="",0,IF($AB$13="",0,IF($AB$13=1,0,IF($I40&lt;$AD$13,0,IF($N40&lt;$AC$13,0,IF($E$10&lt;$AE$13,0,VLOOKUP($T40,'3-1.標準報酬月額・保険料表'!$D$8:$J$57,7,FALSE)+ROUNDDOWN($V40*$AB$7,0)))))))</f>
        <v>0</v>
      </c>
      <c r="AE40" s="73">
        <f t="shared" si="22"/>
        <v>0</v>
      </c>
      <c r="AF40" s="63">
        <f t="shared" si="7"/>
        <v>0</v>
      </c>
      <c r="AG40" s="68">
        <f t="shared" si="23"/>
        <v>0</v>
      </c>
      <c r="AH40" s="152">
        <f>IF($E$4="","",VLOOKUP($N40,'3-2.所得算出参照表'!K$5:L$10,2,TRUE))</f>
        <v>1625000</v>
      </c>
      <c r="AI40" s="153">
        <f>IF($AH40="",0,IF($AH40='3-2.所得算出参照表'!$B$5,'3-2.所得算出参照表'!$E$5,IF('4-1.手当等支給メニュー'!$AH40='3-2.所得算出参照表'!$B$6,'4-1.手当等支給メニュー'!$N40*'3-2.所得算出参照表'!$E$6+'3-2.所得算出参照表'!$G$6,IF('4-1.手当等支給メニュー'!$AH40='3-2.所得算出参照表'!$B$7,'4-1.手当等支給メニュー'!$N40*'3-2.所得算出参照表'!$E$7+'3-2.所得算出参照表'!$G$7,IF('4-1.手当等支給メニュー'!$AH40='3-2.所得算出参照表'!$B$8,'4-1.手当等支給メニュー'!$N40*'3-2.所得算出参照表'!$E$8+'3-2.所得算出参照表'!$G$8,IF('4-1.手当等支給メニュー'!$AH40='3-2.所得算出参照表'!$B$9,'4-1.手当等支給メニュー'!$N40*'3-2.所得算出参照表'!$E$9+'3-2.所得算出参照表'!$G$9,IF($AH40='3-2.所得算出参照表'!$B$10,'3-2.所得算出参照表'!$G$10)))))))</f>
        <v>550000</v>
      </c>
      <c r="AJ40" s="115">
        <f t="shared" si="8"/>
        <v>480000</v>
      </c>
      <c r="AK40" s="110">
        <f t="shared" si="9"/>
        <v>0</v>
      </c>
      <c r="AL40" s="155">
        <f>VLOOKUP($AK40,'3-2.所得算出参照表'!$N$4:$O$11,2,TRUE)</f>
        <v>0</v>
      </c>
      <c r="AM40" s="110">
        <f>VLOOKUP($AK40,'3-2.所得算出参照表'!$P$4:$Q$11,2,TRUE)</f>
        <v>0</v>
      </c>
      <c r="AN40" s="110">
        <f t="shared" si="24"/>
        <v>0</v>
      </c>
      <c r="AO40" s="110">
        <f>$AN40*'3-2.所得算出参照表'!$D$14</f>
        <v>0</v>
      </c>
      <c r="AP40" s="124">
        <f t="shared" si="25"/>
        <v>0</v>
      </c>
      <c r="AQ40" s="132">
        <f>IF($AH40="",0,IF($AH40='3-2.所得算出参照表'!$B$5,'3-2.所得算出参照表'!$E$5,IF('4-1.手当等支給メニュー'!$AH40='3-2.所得算出参照表'!$B$6,'4-1.手当等支給メニュー'!$N40*'3-2.所得算出参照表'!$E$6+'3-2.所得算出参照表'!$G$6,IF('4-1.手当等支給メニュー'!$AH40='3-2.所得算出参照表'!$B$7,'4-1.手当等支給メニュー'!$N40*'3-2.所得算出参照表'!$E$7+'3-2.所得算出参照表'!$G$7,IF('4-1.手当等支給メニュー'!$AH40='3-2.所得算出参照表'!$B$8,'4-1.手当等支給メニュー'!$N40*'3-2.所得算出参照表'!$E$8+'3-2.所得算出参照表'!$G$8,IF('4-1.手当等支給メニュー'!$AH40='3-2.所得算出参照表'!$B$9,'4-1.手当等支給メニュー'!$N40*'3-2.所得算出参照表'!$E$9+'3-2.所得算出参照表'!$G$9,IF($AH40='3-2.所得算出参照表'!$B$10,'3-2.所得算出参照表'!$G$10)))))))</f>
        <v>550000</v>
      </c>
      <c r="AR40" s="72">
        <f t="shared" si="10"/>
        <v>430000</v>
      </c>
      <c r="AS40" s="120">
        <f t="shared" si="11"/>
        <v>0</v>
      </c>
      <c r="AT40" s="120">
        <f t="shared" si="12"/>
        <v>0</v>
      </c>
      <c r="AU40" s="121">
        <f t="shared" si="13"/>
        <v>0</v>
      </c>
      <c r="AV40" s="128">
        <f t="shared" si="26"/>
        <v>0</v>
      </c>
      <c r="AW40" s="145">
        <f t="shared" si="14"/>
        <v>0</v>
      </c>
    </row>
    <row r="41" spans="2:49" ht="21.95" customHeight="1" x14ac:dyDescent="0.15">
      <c r="B41" s="101">
        <v>27</v>
      </c>
      <c r="C41" s="103" t="str">
        <f t="shared" si="0"/>
        <v/>
      </c>
      <c r="D41" s="454" t="str">
        <f t="shared" si="1"/>
        <v/>
      </c>
      <c r="E41" s="468">
        <f>IF($E$4="","",IF(AND($I41&gt;=20,$D41=88,'4-1.参照シートー２'!$R41&lt;=104000),($P41+$V41)*$G$12,0))</f>
        <v>0</v>
      </c>
      <c r="F41" s="503">
        <f>IF('4-1.参照シートー２'!$G41="","",'4-1.参照シートー２'!$G41)</f>
        <v>0</v>
      </c>
      <c r="G41" s="469">
        <f>IF($E$4="","",IF(AND($I41&gt;=20,$D41=88,$R41&gt;104000),('4-1.参照シートー２'!$R41+$V41)*$G$12,0))</f>
        <v>0</v>
      </c>
      <c r="H41" s="447" t="str">
        <f t="shared" si="27"/>
        <v/>
      </c>
      <c r="I41" s="85" t="str">
        <f t="shared" si="28"/>
        <v/>
      </c>
      <c r="J41" s="198" t="str">
        <f t="shared" si="2"/>
        <v/>
      </c>
      <c r="K41" s="383">
        <f t="shared" si="15"/>
        <v>0</v>
      </c>
      <c r="L41" s="198">
        <f t="shared" si="16"/>
        <v>0</v>
      </c>
      <c r="M41" s="458">
        <f t="shared" si="17"/>
        <v>0</v>
      </c>
      <c r="N41" s="98">
        <f t="shared" si="18"/>
        <v>0</v>
      </c>
      <c r="O41" s="517">
        <f t="shared" si="19"/>
        <v>0</v>
      </c>
      <c r="P41" s="514">
        <f>IF($E$4="",0,IF($O41=0,0,VLOOKUP($O41,'3-1.標準報酬月額・保険料表'!$N$8:$O$57,2,TRUE)))</f>
        <v>0</v>
      </c>
      <c r="Q41" s="515">
        <f t="shared" si="3"/>
        <v>0</v>
      </c>
      <c r="R41" s="518">
        <f>IF($E$4="",0,IF($Q41=0,0,VLOOKUP($Q41,'3-1.標準報酬月額・保険料表'!$N$8:$O$57,2,TRUE)))</f>
        <v>0</v>
      </c>
      <c r="S41" s="381">
        <f t="shared" si="20"/>
        <v>0</v>
      </c>
      <c r="T41" s="474">
        <f>IF($E$4="",0,IF($S41=0,0,VLOOKUP($S41,'3-1.標準報酬月額・保険料表'!$N$8:$O$57,2,TRUE)))</f>
        <v>0</v>
      </c>
      <c r="U41" s="473">
        <f t="shared" si="4"/>
        <v>0</v>
      </c>
      <c r="V41" s="461">
        <f t="shared" si="5"/>
        <v>0</v>
      </c>
      <c r="W41" s="187">
        <f t="shared" si="6"/>
        <v>0</v>
      </c>
      <c r="X41" s="61">
        <f>IF($E$4="",0,IF($I41&lt;20,0,IF($X$13="",0,IF($X$13=2,0,IF($W41&lt;$Y$13,0,IF($T41&lt;=620000,VLOOKUP($T41,'3-1.標準報酬月額・保険料表'!$D$8:$L$42,9,FALSE),'3-1.標準報酬月額・保険料表'!$L$42)+ROUNDDOWN($V41*$AD$7,0))))))</f>
        <v>0</v>
      </c>
      <c r="Y41" s="50">
        <f>IF($E$4="",0,IF($I41&lt;20,0,IF($U$9="",0,IF($X$13=2,0,IF($E$10&gt;=$Z$13,0,IF($W41&lt;$Y$13,0,VLOOKUP($T41,'3-1.標準報酬月額・保険料表'!$D$8:$J$57,6,FALSE)+ROUNDDOWN($V41*$AA$7,0)))))))</f>
        <v>0</v>
      </c>
      <c r="Z41" s="50">
        <f>IF($E$4="",0,IF($I41&lt;20,0,IF($X$13="",0,IF($X$13=2,0,IF($E$10&lt;$Z$13,0,IF($W41&lt;$Y$13,0,VLOOKUP($T41,'3-1.標準報酬月額・保険料表'!$D$8:$J$57,7,FALSE)+ROUNDDOWN($V41*$AB$7,0)))))))</f>
        <v>0</v>
      </c>
      <c r="AA41" s="66">
        <f t="shared" si="21"/>
        <v>0</v>
      </c>
      <c r="AB41" s="71">
        <f>IF($E$4="",0,IF($AB$13="",0,IF($AB$13=1,0,IF($I41&lt;$AD$13,0,IF($N41&lt;$AC$13,0,IF($T41&lt;=620000,VLOOKUP($T41,'3-1.標準報酬月額・保険料表'!$D$8:$L$42,9,FALSE),'3-1.標準報酬月額・保険料表'!$L$42)+ROUNDDOWN($V41*$AD$7,0))))))</f>
        <v>0</v>
      </c>
      <c r="AC41" s="72">
        <f>IF($E$4="",0,IF($AB$13="",0,IF($AB$13=1,0,IF($I41&lt;$AD$13,0,IF($N41&lt;$AC$13,0,IF($E$10&gt;=$AE$13,0,VLOOKUP($T41,'3-1.標準報酬月額・保険料表'!$D$8:$J$57,6,FALSE)+ROUNDDOWN($V41*$AA$7,0)))))))</f>
        <v>0</v>
      </c>
      <c r="AD41" s="72">
        <f>IF($E$4="",0,IF($AB$13="",0,IF($AB$13=1,0,IF($I41&lt;$AD$13,0,IF($N41&lt;$AC$13,0,IF($E$10&lt;$AE$13,0,VLOOKUP($T41,'3-1.標準報酬月額・保険料表'!$D$8:$J$57,7,FALSE)+ROUNDDOWN($V41*$AB$7,0)))))))</f>
        <v>0</v>
      </c>
      <c r="AE41" s="73">
        <f t="shared" si="22"/>
        <v>0</v>
      </c>
      <c r="AF41" s="63">
        <f t="shared" si="7"/>
        <v>0</v>
      </c>
      <c r="AG41" s="68">
        <f t="shared" si="23"/>
        <v>0</v>
      </c>
      <c r="AH41" s="152">
        <f>IF($E$4="","",VLOOKUP($N41,'3-2.所得算出参照表'!K$5:L$10,2,TRUE))</f>
        <v>1625000</v>
      </c>
      <c r="AI41" s="153">
        <f>IF($AH41="",0,IF($AH41='3-2.所得算出参照表'!$B$5,'3-2.所得算出参照表'!$E$5,IF('4-1.手当等支給メニュー'!$AH41='3-2.所得算出参照表'!$B$6,'4-1.手当等支給メニュー'!$N41*'3-2.所得算出参照表'!$E$6+'3-2.所得算出参照表'!$G$6,IF('4-1.手当等支給メニュー'!$AH41='3-2.所得算出参照表'!$B$7,'4-1.手当等支給メニュー'!$N41*'3-2.所得算出参照表'!$E$7+'3-2.所得算出参照表'!$G$7,IF('4-1.手当等支給メニュー'!$AH41='3-2.所得算出参照表'!$B$8,'4-1.手当等支給メニュー'!$N41*'3-2.所得算出参照表'!$E$8+'3-2.所得算出参照表'!$G$8,IF('4-1.手当等支給メニュー'!$AH41='3-2.所得算出参照表'!$B$9,'4-1.手当等支給メニュー'!$N41*'3-2.所得算出参照表'!$E$9+'3-2.所得算出参照表'!$G$9,IF($AH41='3-2.所得算出参照表'!$B$10,'3-2.所得算出参照表'!$G$10)))))))</f>
        <v>550000</v>
      </c>
      <c r="AJ41" s="115">
        <f t="shared" si="8"/>
        <v>480000</v>
      </c>
      <c r="AK41" s="110">
        <f t="shared" si="9"/>
        <v>0</v>
      </c>
      <c r="AL41" s="155">
        <f>VLOOKUP($AK41,'3-2.所得算出参照表'!$N$4:$O$11,2,TRUE)</f>
        <v>0</v>
      </c>
      <c r="AM41" s="110">
        <f>VLOOKUP($AK41,'3-2.所得算出参照表'!$P$4:$Q$11,2,TRUE)</f>
        <v>0</v>
      </c>
      <c r="AN41" s="110">
        <f t="shared" si="24"/>
        <v>0</v>
      </c>
      <c r="AO41" s="110">
        <f>$AN41*'3-2.所得算出参照表'!$D$14</f>
        <v>0</v>
      </c>
      <c r="AP41" s="124">
        <f t="shared" si="25"/>
        <v>0</v>
      </c>
      <c r="AQ41" s="132">
        <f>IF($AH41="",0,IF($AH41='3-2.所得算出参照表'!$B$5,'3-2.所得算出参照表'!$E$5,IF('4-1.手当等支給メニュー'!$AH41='3-2.所得算出参照表'!$B$6,'4-1.手当等支給メニュー'!$N41*'3-2.所得算出参照表'!$E$6+'3-2.所得算出参照表'!$G$6,IF('4-1.手当等支給メニュー'!$AH41='3-2.所得算出参照表'!$B$7,'4-1.手当等支給メニュー'!$N41*'3-2.所得算出参照表'!$E$7+'3-2.所得算出参照表'!$G$7,IF('4-1.手当等支給メニュー'!$AH41='3-2.所得算出参照表'!$B$8,'4-1.手当等支給メニュー'!$N41*'3-2.所得算出参照表'!$E$8+'3-2.所得算出参照表'!$G$8,IF('4-1.手当等支給メニュー'!$AH41='3-2.所得算出参照表'!$B$9,'4-1.手当等支給メニュー'!$N41*'3-2.所得算出参照表'!$E$9+'3-2.所得算出参照表'!$G$9,IF($AH41='3-2.所得算出参照表'!$B$10,'3-2.所得算出参照表'!$G$10)))))))</f>
        <v>550000</v>
      </c>
      <c r="AR41" s="72">
        <f t="shared" si="10"/>
        <v>430000</v>
      </c>
      <c r="AS41" s="120">
        <f t="shared" si="11"/>
        <v>0</v>
      </c>
      <c r="AT41" s="120">
        <f t="shared" si="12"/>
        <v>0</v>
      </c>
      <c r="AU41" s="121">
        <f t="shared" si="13"/>
        <v>0</v>
      </c>
      <c r="AV41" s="128">
        <f t="shared" si="26"/>
        <v>0</v>
      </c>
      <c r="AW41" s="145">
        <f t="shared" si="14"/>
        <v>0</v>
      </c>
    </row>
    <row r="42" spans="2:49" ht="21.95" customHeight="1" x14ac:dyDescent="0.15">
      <c r="B42" s="101">
        <v>28</v>
      </c>
      <c r="C42" s="103" t="str">
        <f t="shared" si="0"/>
        <v/>
      </c>
      <c r="D42" s="454" t="str">
        <f t="shared" si="1"/>
        <v/>
      </c>
      <c r="E42" s="468">
        <f>IF($E$4="","",IF(AND($I42&gt;=20,$D42=88,'4-1.参照シートー２'!$R42&lt;=104000),($P42+$V42)*$G$12,0))</f>
        <v>0</v>
      </c>
      <c r="F42" s="503">
        <f>IF('4-1.参照シートー２'!$G42="","",'4-1.参照シートー２'!$G42)</f>
        <v>0</v>
      </c>
      <c r="G42" s="469">
        <f>IF($E$4="","",IF(AND($I42&gt;=20,$D42=88,$R42&gt;104000),('4-1.参照シートー２'!$R42+$V42)*$G$12,0))</f>
        <v>0</v>
      </c>
      <c r="H42" s="447" t="str">
        <f t="shared" si="27"/>
        <v/>
      </c>
      <c r="I42" s="85" t="str">
        <f t="shared" si="28"/>
        <v/>
      </c>
      <c r="J42" s="198" t="str">
        <f t="shared" si="2"/>
        <v/>
      </c>
      <c r="K42" s="383">
        <f t="shared" si="15"/>
        <v>0</v>
      </c>
      <c r="L42" s="198">
        <f t="shared" si="16"/>
        <v>0</v>
      </c>
      <c r="M42" s="458">
        <f t="shared" si="17"/>
        <v>0</v>
      </c>
      <c r="N42" s="98">
        <f t="shared" si="18"/>
        <v>0</v>
      </c>
      <c r="O42" s="517">
        <f t="shared" si="19"/>
        <v>0</v>
      </c>
      <c r="P42" s="514">
        <f>IF($E$4="",0,IF($O42=0,0,VLOOKUP($O42,'3-1.標準報酬月額・保険料表'!$N$8:$O$57,2,TRUE)))</f>
        <v>0</v>
      </c>
      <c r="Q42" s="515">
        <f t="shared" si="3"/>
        <v>0</v>
      </c>
      <c r="R42" s="518">
        <f>IF($E$4="",0,IF($Q42=0,0,VLOOKUP($Q42,'3-1.標準報酬月額・保険料表'!$N$8:$O$57,2,TRUE)))</f>
        <v>0</v>
      </c>
      <c r="S42" s="381">
        <f t="shared" si="20"/>
        <v>0</v>
      </c>
      <c r="T42" s="474">
        <f>IF($E$4="",0,IF($S42=0,0,VLOOKUP($S42,'3-1.標準報酬月額・保険料表'!$N$8:$O$57,2,TRUE)))</f>
        <v>0</v>
      </c>
      <c r="U42" s="473">
        <f t="shared" si="4"/>
        <v>0</v>
      </c>
      <c r="V42" s="461">
        <f t="shared" si="5"/>
        <v>0</v>
      </c>
      <c r="W42" s="187">
        <f t="shared" si="6"/>
        <v>0</v>
      </c>
      <c r="X42" s="61">
        <f>IF($E$4="",0,IF($I42&lt;20,0,IF($X$13="",0,IF($X$13=2,0,IF($W42&lt;$Y$13,0,IF($T42&lt;=620000,VLOOKUP($T42,'3-1.標準報酬月額・保険料表'!$D$8:$L$42,9,FALSE),'3-1.標準報酬月額・保険料表'!$L$42)+ROUNDDOWN($V42*$AD$7,0))))))</f>
        <v>0</v>
      </c>
      <c r="Y42" s="50">
        <f>IF($E$4="",0,IF($I42&lt;20,0,IF($U$9="",0,IF($X$13=2,0,IF($E$10&gt;=$Z$13,0,IF($W42&lt;$Y$13,0,VLOOKUP($T42,'3-1.標準報酬月額・保険料表'!$D$8:$J$57,6,FALSE)+ROUNDDOWN($V42*$AA$7,0)))))))</f>
        <v>0</v>
      </c>
      <c r="Z42" s="50">
        <f>IF($E$4="",0,IF($I42&lt;20,0,IF($X$13="",0,IF($X$13=2,0,IF($E$10&lt;$Z$13,0,IF($W42&lt;$Y$13,0,VLOOKUP($T42,'3-1.標準報酬月額・保険料表'!$D$8:$J$57,7,FALSE)+ROUNDDOWN($V42*$AB$7,0)))))))</f>
        <v>0</v>
      </c>
      <c r="AA42" s="66">
        <f t="shared" si="21"/>
        <v>0</v>
      </c>
      <c r="AB42" s="71">
        <f>IF($E$4="",0,IF($AB$13="",0,IF($AB$13=1,0,IF($I42&lt;$AD$13,0,IF($N42&lt;$AC$13,0,IF($T42&lt;=620000,VLOOKUP($T42,'3-1.標準報酬月額・保険料表'!$D$8:$L$42,9,FALSE),'3-1.標準報酬月額・保険料表'!$L$42)+ROUNDDOWN($V42*$AD$7,0))))))</f>
        <v>0</v>
      </c>
      <c r="AC42" s="72">
        <f>IF($E$4="",0,IF($AB$13="",0,IF($AB$13=1,0,IF($I42&lt;$AD$13,0,IF($N42&lt;$AC$13,0,IF($E$10&gt;=$AE$13,0,VLOOKUP($T42,'3-1.標準報酬月額・保険料表'!$D$8:$J$57,6,FALSE)+ROUNDDOWN($V42*$AA$7,0)))))))</f>
        <v>0</v>
      </c>
      <c r="AD42" s="72">
        <f>IF($E$4="",0,IF($AB$13="",0,IF($AB$13=1,0,IF($I42&lt;$AD$13,0,IF($N42&lt;$AC$13,0,IF($E$10&lt;$AE$13,0,VLOOKUP($T42,'3-1.標準報酬月額・保険料表'!$D$8:$J$57,7,FALSE)+ROUNDDOWN($V42*$AB$7,0)))))))</f>
        <v>0</v>
      </c>
      <c r="AE42" s="73">
        <f t="shared" si="22"/>
        <v>0</v>
      </c>
      <c r="AF42" s="63">
        <f t="shared" si="7"/>
        <v>0</v>
      </c>
      <c r="AG42" s="68">
        <f t="shared" si="23"/>
        <v>0</v>
      </c>
      <c r="AH42" s="152">
        <f>IF($E$4="","",VLOOKUP($N42,'3-2.所得算出参照表'!K$5:L$10,2,TRUE))</f>
        <v>1625000</v>
      </c>
      <c r="AI42" s="153">
        <f>IF($AH42="",0,IF($AH42='3-2.所得算出参照表'!$B$5,'3-2.所得算出参照表'!$E$5,IF('4-1.手当等支給メニュー'!$AH42='3-2.所得算出参照表'!$B$6,'4-1.手当等支給メニュー'!$N42*'3-2.所得算出参照表'!$E$6+'3-2.所得算出参照表'!$G$6,IF('4-1.手当等支給メニュー'!$AH42='3-2.所得算出参照表'!$B$7,'4-1.手当等支給メニュー'!$N42*'3-2.所得算出参照表'!$E$7+'3-2.所得算出参照表'!$G$7,IF('4-1.手当等支給メニュー'!$AH42='3-2.所得算出参照表'!$B$8,'4-1.手当等支給メニュー'!$N42*'3-2.所得算出参照表'!$E$8+'3-2.所得算出参照表'!$G$8,IF('4-1.手当等支給メニュー'!$AH42='3-2.所得算出参照表'!$B$9,'4-1.手当等支給メニュー'!$N42*'3-2.所得算出参照表'!$E$9+'3-2.所得算出参照表'!$G$9,IF($AH42='3-2.所得算出参照表'!$B$10,'3-2.所得算出参照表'!$G$10)))))))</f>
        <v>550000</v>
      </c>
      <c r="AJ42" s="115">
        <f t="shared" si="8"/>
        <v>480000</v>
      </c>
      <c r="AK42" s="110">
        <f t="shared" si="9"/>
        <v>0</v>
      </c>
      <c r="AL42" s="155">
        <f>VLOOKUP($AK42,'3-2.所得算出参照表'!$N$4:$O$11,2,TRUE)</f>
        <v>0</v>
      </c>
      <c r="AM42" s="110">
        <f>VLOOKUP($AK42,'3-2.所得算出参照表'!$P$4:$Q$11,2,TRUE)</f>
        <v>0</v>
      </c>
      <c r="AN42" s="110">
        <f t="shared" si="24"/>
        <v>0</v>
      </c>
      <c r="AO42" s="110">
        <f>$AN42*'3-2.所得算出参照表'!$D$14</f>
        <v>0</v>
      </c>
      <c r="AP42" s="124">
        <f t="shared" si="25"/>
        <v>0</v>
      </c>
      <c r="AQ42" s="132">
        <f>IF($AH42="",0,IF($AH42='3-2.所得算出参照表'!$B$5,'3-2.所得算出参照表'!$E$5,IF('4-1.手当等支給メニュー'!$AH42='3-2.所得算出参照表'!$B$6,'4-1.手当等支給メニュー'!$N42*'3-2.所得算出参照表'!$E$6+'3-2.所得算出参照表'!$G$6,IF('4-1.手当等支給メニュー'!$AH42='3-2.所得算出参照表'!$B$7,'4-1.手当等支給メニュー'!$N42*'3-2.所得算出参照表'!$E$7+'3-2.所得算出参照表'!$G$7,IF('4-1.手当等支給メニュー'!$AH42='3-2.所得算出参照表'!$B$8,'4-1.手当等支給メニュー'!$N42*'3-2.所得算出参照表'!$E$8+'3-2.所得算出参照表'!$G$8,IF('4-1.手当等支給メニュー'!$AH42='3-2.所得算出参照表'!$B$9,'4-1.手当等支給メニュー'!$N42*'3-2.所得算出参照表'!$E$9+'3-2.所得算出参照表'!$G$9,IF($AH42='3-2.所得算出参照表'!$B$10,'3-2.所得算出参照表'!$G$10)))))))</f>
        <v>550000</v>
      </c>
      <c r="AR42" s="72">
        <f t="shared" si="10"/>
        <v>430000</v>
      </c>
      <c r="AS42" s="120">
        <f t="shared" si="11"/>
        <v>0</v>
      </c>
      <c r="AT42" s="120">
        <f t="shared" si="12"/>
        <v>0</v>
      </c>
      <c r="AU42" s="121">
        <f t="shared" si="13"/>
        <v>0</v>
      </c>
      <c r="AV42" s="128">
        <f t="shared" si="26"/>
        <v>0</v>
      </c>
      <c r="AW42" s="145">
        <f t="shared" si="14"/>
        <v>0</v>
      </c>
    </row>
    <row r="43" spans="2:49" ht="21.95" customHeight="1" x14ac:dyDescent="0.15">
      <c r="B43" s="101">
        <v>29</v>
      </c>
      <c r="C43" s="103" t="str">
        <f t="shared" si="0"/>
        <v/>
      </c>
      <c r="D43" s="454" t="str">
        <f t="shared" si="1"/>
        <v/>
      </c>
      <c r="E43" s="468">
        <f>IF($E$4="","",IF(AND($I43&gt;=20,$D43=88,'4-1.参照シートー２'!$R43&lt;=104000),($P43+$V43)*$G$12,0))</f>
        <v>0</v>
      </c>
      <c r="F43" s="503">
        <f>IF('4-1.参照シートー２'!$G43="","",'4-1.参照シートー２'!$G43)</f>
        <v>0</v>
      </c>
      <c r="G43" s="469">
        <f>IF($E$4="","",IF(AND($I43&gt;=20,$D43=88,$R43&gt;104000),('4-1.参照シートー２'!$R43+$V43)*$G$12,0))</f>
        <v>0</v>
      </c>
      <c r="H43" s="447" t="str">
        <f t="shared" si="27"/>
        <v/>
      </c>
      <c r="I43" s="85" t="str">
        <f t="shared" si="28"/>
        <v/>
      </c>
      <c r="J43" s="198" t="str">
        <f t="shared" si="2"/>
        <v/>
      </c>
      <c r="K43" s="383">
        <f t="shared" si="15"/>
        <v>0</v>
      </c>
      <c r="L43" s="198">
        <f t="shared" si="16"/>
        <v>0</v>
      </c>
      <c r="M43" s="458">
        <f t="shared" si="17"/>
        <v>0</v>
      </c>
      <c r="N43" s="98">
        <f t="shared" si="18"/>
        <v>0</v>
      </c>
      <c r="O43" s="517">
        <f t="shared" si="19"/>
        <v>0</v>
      </c>
      <c r="P43" s="514">
        <f>IF($E$4="",0,IF($O43=0,0,VLOOKUP($O43,'3-1.標準報酬月額・保険料表'!$N$8:$O$57,2,TRUE)))</f>
        <v>0</v>
      </c>
      <c r="Q43" s="515">
        <f t="shared" si="3"/>
        <v>0</v>
      </c>
      <c r="R43" s="518">
        <f>IF($E$4="",0,IF($Q43=0,0,VLOOKUP($Q43,'3-1.標準報酬月額・保険料表'!$N$8:$O$57,2,TRUE)))</f>
        <v>0</v>
      </c>
      <c r="S43" s="381">
        <f t="shared" si="20"/>
        <v>0</v>
      </c>
      <c r="T43" s="474">
        <f>IF($E$4="",0,IF($S43=0,0,VLOOKUP($S43,'3-1.標準報酬月額・保険料表'!$N$8:$O$57,2,TRUE)))</f>
        <v>0</v>
      </c>
      <c r="U43" s="473">
        <f t="shared" si="4"/>
        <v>0</v>
      </c>
      <c r="V43" s="461">
        <f t="shared" si="5"/>
        <v>0</v>
      </c>
      <c r="W43" s="187">
        <f t="shared" si="6"/>
        <v>0</v>
      </c>
      <c r="X43" s="61">
        <f>IF($E$4="",0,IF($I43&lt;20,0,IF($X$13="",0,IF($X$13=2,0,IF($W43&lt;$Y$13,0,IF($T43&lt;=620000,VLOOKUP($T43,'3-1.標準報酬月額・保険料表'!$D$8:$L$42,9,FALSE),'3-1.標準報酬月額・保険料表'!$L$42)+ROUNDDOWN($V43*$AD$7,0))))))</f>
        <v>0</v>
      </c>
      <c r="Y43" s="50">
        <f>IF($E$4="",0,IF($I43&lt;20,0,IF($U$9="",0,IF($X$13=2,0,IF($E$10&gt;=$Z$13,0,IF($W43&lt;$Y$13,0,VLOOKUP($T43,'3-1.標準報酬月額・保険料表'!$D$8:$J$57,6,FALSE)+ROUNDDOWN($V43*$AA$7,0)))))))</f>
        <v>0</v>
      </c>
      <c r="Z43" s="50">
        <f>IF($E$4="",0,IF($I43&lt;20,0,IF($X$13="",0,IF($X$13=2,0,IF($E$10&lt;$Z$13,0,IF($W43&lt;$Y$13,0,VLOOKUP($T43,'3-1.標準報酬月額・保険料表'!$D$8:$J$57,7,FALSE)+ROUNDDOWN($V43*$AB$7,0)))))))</f>
        <v>0</v>
      </c>
      <c r="AA43" s="66">
        <f t="shared" si="21"/>
        <v>0</v>
      </c>
      <c r="AB43" s="71">
        <f>IF($E$4="",0,IF($AB$13="",0,IF($AB$13=1,0,IF($I43&lt;$AD$13,0,IF($N43&lt;$AC$13,0,IF($T43&lt;=620000,VLOOKUP($T43,'3-1.標準報酬月額・保険料表'!$D$8:$L$42,9,FALSE),'3-1.標準報酬月額・保険料表'!$L$42)+ROUNDDOWN($V43*$AD$7,0))))))</f>
        <v>0</v>
      </c>
      <c r="AC43" s="72">
        <f>IF($E$4="",0,IF($AB$13="",0,IF($AB$13=1,0,IF($I43&lt;$AD$13,0,IF($N43&lt;$AC$13,0,IF($E$10&gt;=$AE$13,0,VLOOKUP($T43,'3-1.標準報酬月額・保険料表'!$D$8:$J$57,6,FALSE)+ROUNDDOWN($V43*$AA$7,0)))))))</f>
        <v>0</v>
      </c>
      <c r="AD43" s="72">
        <f>IF($E$4="",0,IF($AB$13="",0,IF($AB$13=1,0,IF($I43&lt;$AD$13,0,IF($N43&lt;$AC$13,0,IF($E$10&lt;$AE$13,0,VLOOKUP($T43,'3-1.標準報酬月額・保険料表'!$D$8:$J$57,7,FALSE)+ROUNDDOWN($V43*$AB$7,0)))))))</f>
        <v>0</v>
      </c>
      <c r="AE43" s="73">
        <f t="shared" si="22"/>
        <v>0</v>
      </c>
      <c r="AF43" s="63">
        <f t="shared" si="7"/>
        <v>0</v>
      </c>
      <c r="AG43" s="68">
        <f t="shared" si="23"/>
        <v>0</v>
      </c>
      <c r="AH43" s="152">
        <f>IF($E$4="","",VLOOKUP($N43,'3-2.所得算出参照表'!K$5:L$10,2,TRUE))</f>
        <v>1625000</v>
      </c>
      <c r="AI43" s="153">
        <f>IF($AH43="",0,IF($AH43='3-2.所得算出参照表'!$B$5,'3-2.所得算出参照表'!$E$5,IF('4-1.手当等支給メニュー'!$AH43='3-2.所得算出参照表'!$B$6,'4-1.手当等支給メニュー'!$N43*'3-2.所得算出参照表'!$E$6+'3-2.所得算出参照表'!$G$6,IF('4-1.手当等支給メニュー'!$AH43='3-2.所得算出参照表'!$B$7,'4-1.手当等支給メニュー'!$N43*'3-2.所得算出参照表'!$E$7+'3-2.所得算出参照表'!$G$7,IF('4-1.手当等支給メニュー'!$AH43='3-2.所得算出参照表'!$B$8,'4-1.手当等支給メニュー'!$N43*'3-2.所得算出参照表'!$E$8+'3-2.所得算出参照表'!$G$8,IF('4-1.手当等支給メニュー'!$AH43='3-2.所得算出参照表'!$B$9,'4-1.手当等支給メニュー'!$N43*'3-2.所得算出参照表'!$E$9+'3-2.所得算出参照表'!$G$9,IF($AH43='3-2.所得算出参照表'!$B$10,'3-2.所得算出参照表'!$G$10)))))))</f>
        <v>550000</v>
      </c>
      <c r="AJ43" s="115">
        <f t="shared" si="8"/>
        <v>480000</v>
      </c>
      <c r="AK43" s="110">
        <f t="shared" si="9"/>
        <v>0</v>
      </c>
      <c r="AL43" s="155">
        <f>VLOOKUP($AK43,'3-2.所得算出参照表'!$N$4:$O$11,2,TRUE)</f>
        <v>0</v>
      </c>
      <c r="AM43" s="110">
        <f>VLOOKUP($AK43,'3-2.所得算出参照表'!$P$4:$Q$11,2,TRUE)</f>
        <v>0</v>
      </c>
      <c r="AN43" s="110">
        <f t="shared" si="24"/>
        <v>0</v>
      </c>
      <c r="AO43" s="110">
        <f>$AN43*'3-2.所得算出参照表'!$D$14</f>
        <v>0</v>
      </c>
      <c r="AP43" s="124">
        <f t="shared" si="25"/>
        <v>0</v>
      </c>
      <c r="AQ43" s="132">
        <f>IF($AH43="",0,IF($AH43='3-2.所得算出参照表'!$B$5,'3-2.所得算出参照表'!$E$5,IF('4-1.手当等支給メニュー'!$AH43='3-2.所得算出参照表'!$B$6,'4-1.手当等支給メニュー'!$N43*'3-2.所得算出参照表'!$E$6+'3-2.所得算出参照表'!$G$6,IF('4-1.手当等支給メニュー'!$AH43='3-2.所得算出参照表'!$B$7,'4-1.手当等支給メニュー'!$N43*'3-2.所得算出参照表'!$E$7+'3-2.所得算出参照表'!$G$7,IF('4-1.手当等支給メニュー'!$AH43='3-2.所得算出参照表'!$B$8,'4-1.手当等支給メニュー'!$N43*'3-2.所得算出参照表'!$E$8+'3-2.所得算出参照表'!$G$8,IF('4-1.手当等支給メニュー'!$AH43='3-2.所得算出参照表'!$B$9,'4-1.手当等支給メニュー'!$N43*'3-2.所得算出参照表'!$E$9+'3-2.所得算出参照表'!$G$9,IF($AH43='3-2.所得算出参照表'!$B$10,'3-2.所得算出参照表'!$G$10)))))))</f>
        <v>550000</v>
      </c>
      <c r="AR43" s="72">
        <f t="shared" si="10"/>
        <v>430000</v>
      </c>
      <c r="AS43" s="120">
        <f t="shared" si="11"/>
        <v>0</v>
      </c>
      <c r="AT43" s="120">
        <f t="shared" si="12"/>
        <v>0</v>
      </c>
      <c r="AU43" s="121">
        <f t="shared" si="13"/>
        <v>0</v>
      </c>
      <c r="AV43" s="128">
        <f t="shared" si="26"/>
        <v>0</v>
      </c>
      <c r="AW43" s="145">
        <f t="shared" si="14"/>
        <v>0</v>
      </c>
    </row>
    <row r="44" spans="2:49" ht="21.95" customHeight="1" thickBot="1" x14ac:dyDescent="0.2">
      <c r="B44" s="101">
        <v>30</v>
      </c>
      <c r="C44" s="104" t="str">
        <f t="shared" si="0"/>
        <v/>
      </c>
      <c r="D44" s="455" t="str">
        <f t="shared" si="1"/>
        <v/>
      </c>
      <c r="E44" s="468">
        <f>IF($E$4="","",IF(AND($I44&gt;=20,$D44=88,'4-1.参照シートー２'!$R44&lt;=104000),($P44+$V44)*$G$12,0))</f>
        <v>0</v>
      </c>
      <c r="F44" s="503">
        <f>IF('4-1.参照シートー２'!$G44="","",'4-1.参照シートー２'!$G44)</f>
        <v>0</v>
      </c>
      <c r="G44" s="469">
        <f>IF($E$4="","",IF(AND($I44&gt;=20,$D44=88,$R44&gt;104000),('4-1.参照シートー２'!$R44+$V44)*$G$12,0))</f>
        <v>0</v>
      </c>
      <c r="H44" s="447" t="str">
        <f t="shared" si="27"/>
        <v/>
      </c>
      <c r="I44" s="85" t="str">
        <f t="shared" si="28"/>
        <v/>
      </c>
      <c r="J44" s="198" t="str">
        <f t="shared" si="2"/>
        <v/>
      </c>
      <c r="K44" s="383">
        <f t="shared" si="15"/>
        <v>0</v>
      </c>
      <c r="L44" s="198">
        <f t="shared" si="16"/>
        <v>0</v>
      </c>
      <c r="M44" s="459">
        <f t="shared" si="17"/>
        <v>0</v>
      </c>
      <c r="N44" s="98">
        <f t="shared" si="18"/>
        <v>0</v>
      </c>
      <c r="O44" s="519">
        <f t="shared" si="19"/>
        <v>0</v>
      </c>
      <c r="P44" s="520">
        <f>IF($E$4="",0,IF($O44=0,0,VLOOKUP($O44,'3-1.標準報酬月額・保険料表'!$N$8:$O$57,2,TRUE)))</f>
        <v>0</v>
      </c>
      <c r="Q44" s="521">
        <f t="shared" si="3"/>
        <v>0</v>
      </c>
      <c r="R44" s="522">
        <f>IF($E$4="",0,IF($Q44=0,0,VLOOKUP($Q44,'3-1.標準報酬月額・保険料表'!$N$8:$O$57,2,TRUE)))</f>
        <v>0</v>
      </c>
      <c r="S44" s="475">
        <f t="shared" si="20"/>
        <v>0</v>
      </c>
      <c r="T44" s="476">
        <f>IF($E$4="",0,IF($S44=0,0,VLOOKUP($S44,'3-1.標準報酬月額・保険料表'!$N$8:$O$57,2,TRUE)))</f>
        <v>0</v>
      </c>
      <c r="U44" s="473">
        <f t="shared" si="4"/>
        <v>0</v>
      </c>
      <c r="V44" s="462">
        <f t="shared" si="5"/>
        <v>0</v>
      </c>
      <c r="W44" s="188">
        <f t="shared" si="6"/>
        <v>0</v>
      </c>
      <c r="X44" s="62">
        <f>IF($E$4="",0,IF($I44&lt;20,0,IF($X$13="",0,IF($X$13=2,0,IF($W44&lt;$Y$13,0,IF($T44&lt;=620000,VLOOKUP($T44,'3-1.標準報酬月額・保険料表'!$D$8:$L$42,9,FALSE),'3-1.標準報酬月額・保険料表'!$L$42)+ROUNDDOWN($V44*$AD$7,0))))))</f>
        <v>0</v>
      </c>
      <c r="Y44" s="70">
        <f>IF($E$4="",0,IF($I44&lt;20,0,IF($U$9="",0,IF($X$13=2,0,IF($E$10&gt;=$Z$13,0,IF($W44&lt;$Y$13,0,VLOOKUP($T44,'3-1.標準報酬月額・保険料表'!$D$8:$J$57,6,FALSE)+ROUNDDOWN($V44*$AA$7,0)))))))</f>
        <v>0</v>
      </c>
      <c r="Z44" s="70">
        <f>IF($E$4="",0,IF($I44&lt;20,0,IF($X$13="",0,IF($X$13=2,0,IF($E$10&lt;$Z$13,0,IF($W44&lt;$Y$13,0,VLOOKUP($T44,'3-1.標準報酬月額・保険料表'!$D$8:$J$57,7,FALSE)+ROUNDDOWN($V44*$AB$7,0)))))))</f>
        <v>0</v>
      </c>
      <c r="AA44" s="67">
        <f t="shared" si="21"/>
        <v>0</v>
      </c>
      <c r="AB44" s="74">
        <f>IF($E$4="",0,IF($AB$13="",0,IF($AB$13=1,0,IF($I44&lt;$AD$13,0,IF($N44&lt;$AC$13,0,IF($T44&lt;=620000,VLOOKUP($T44,'3-1.標準報酬月額・保険料表'!$D$8:$L$42,9,FALSE),'3-1.標準報酬月額・保険料表'!$L$42)+ROUNDDOWN($V44*$AD$7,0))))))</f>
        <v>0</v>
      </c>
      <c r="AC44" s="75">
        <f>IF($E$4="",0,IF($AB$13="",0,IF($AB$13=1,0,IF($I44&lt;$AD$13,0,IF($N44&lt;$AC$13,0,IF($E$10&gt;=$AE$13,0,VLOOKUP($T44,'3-1.標準報酬月額・保険料表'!$D$8:$J$57,6,FALSE)+ROUNDDOWN($V44*$AA$7,0)))))))</f>
        <v>0</v>
      </c>
      <c r="AD44" s="75">
        <f>IF($E$4="",0,IF($AB$13="",0,IF($AB$13=1,0,IF($I44&lt;$AD$13,0,IF($N44&lt;$AC$13,0,IF($E$10&lt;$AE$13,0,VLOOKUP($T44,'3-1.標準報酬月額・保険料表'!$D$8:$J$57,7,FALSE)+ROUNDDOWN($V44*$AB$7,0)))))))</f>
        <v>0</v>
      </c>
      <c r="AE44" s="76">
        <f t="shared" si="22"/>
        <v>0</v>
      </c>
      <c r="AF44" s="64">
        <f t="shared" si="7"/>
        <v>0</v>
      </c>
      <c r="AG44" s="69">
        <f t="shared" si="23"/>
        <v>0</v>
      </c>
      <c r="AH44" s="152">
        <f>IF($E$4="","",VLOOKUP($N44,'3-2.所得算出参照表'!K$5:L$10,2,TRUE))</f>
        <v>1625000</v>
      </c>
      <c r="AI44" s="153">
        <f>IF($AH44="",0,IF($AH44='3-2.所得算出参照表'!$B$5,'3-2.所得算出参照表'!$E$5,IF('4-1.手当等支給メニュー'!$AH44='3-2.所得算出参照表'!$B$6,'4-1.手当等支給メニュー'!$N44*'3-2.所得算出参照表'!$E$6+'3-2.所得算出参照表'!$G$6,IF('4-1.手当等支給メニュー'!$AH44='3-2.所得算出参照表'!$B$7,'4-1.手当等支給メニュー'!$N44*'3-2.所得算出参照表'!$E$7+'3-2.所得算出参照表'!$G$7,IF('4-1.手当等支給メニュー'!$AH44='3-2.所得算出参照表'!$B$8,'4-1.手当等支給メニュー'!$N44*'3-2.所得算出参照表'!$E$8+'3-2.所得算出参照表'!$G$8,IF('4-1.手当等支給メニュー'!$AH44='3-2.所得算出参照表'!$B$9,'4-1.手当等支給メニュー'!$N44*'3-2.所得算出参照表'!$E$9+'3-2.所得算出参照表'!$G$9,IF($AH44='3-2.所得算出参照表'!$B$10,'3-2.所得算出参照表'!$G$10)))))))</f>
        <v>550000</v>
      </c>
      <c r="AJ44" s="115">
        <f t="shared" si="8"/>
        <v>480000</v>
      </c>
      <c r="AK44" s="110">
        <f t="shared" si="9"/>
        <v>0</v>
      </c>
      <c r="AL44" s="155">
        <f>VLOOKUP($AK44,'3-2.所得算出参照表'!$N$4:$O$11,2,TRUE)</f>
        <v>0</v>
      </c>
      <c r="AM44" s="110">
        <f>VLOOKUP($AK44,'3-2.所得算出参照表'!$P$4:$Q$11,2,TRUE)</f>
        <v>0</v>
      </c>
      <c r="AN44" s="110">
        <f t="shared" si="24"/>
        <v>0</v>
      </c>
      <c r="AO44" s="110">
        <f>$AN44*'3-2.所得算出参照表'!$D$14</f>
        <v>0</v>
      </c>
      <c r="AP44" s="124">
        <f t="shared" si="25"/>
        <v>0</v>
      </c>
      <c r="AQ44" s="133">
        <f>IF($AH44="",0,IF($AH44='3-2.所得算出参照表'!$B$5,'3-2.所得算出参照表'!$E$5,IF('4-1.手当等支給メニュー'!$AH44='3-2.所得算出参照表'!$B$6,'4-1.手当等支給メニュー'!$N44*'3-2.所得算出参照表'!$E$6+'3-2.所得算出参照表'!$G$6,IF('4-1.手当等支給メニュー'!$AH44='3-2.所得算出参照表'!$B$7,'4-1.手当等支給メニュー'!$N44*'3-2.所得算出参照表'!$E$7+'3-2.所得算出参照表'!$G$7,IF('4-1.手当等支給メニュー'!$AH44='3-2.所得算出参照表'!$B$8,'4-1.手当等支給メニュー'!$N44*'3-2.所得算出参照表'!$E$8+'3-2.所得算出参照表'!$G$8,IF('4-1.手当等支給メニュー'!$AH44='3-2.所得算出参照表'!$B$9,'4-1.手当等支給メニュー'!$N44*'3-2.所得算出参照表'!$E$9+'3-2.所得算出参照表'!$G$9,IF($AH44='3-2.所得算出参照表'!$B$10,'3-2.所得算出参照表'!$G$10)))))))</f>
        <v>550000</v>
      </c>
      <c r="AR44" s="75">
        <f t="shared" si="10"/>
        <v>430000</v>
      </c>
      <c r="AS44" s="129">
        <f t="shared" si="11"/>
        <v>0</v>
      </c>
      <c r="AT44" s="129">
        <f t="shared" si="12"/>
        <v>0</v>
      </c>
      <c r="AU44" s="130">
        <f t="shared" si="13"/>
        <v>0</v>
      </c>
      <c r="AV44" s="131">
        <f t="shared" si="26"/>
        <v>0</v>
      </c>
      <c r="AW44" s="146">
        <f t="shared" si="14"/>
        <v>0</v>
      </c>
    </row>
    <row r="45" spans="2:49" x14ac:dyDescent="0.15">
      <c r="AU45" s="134"/>
    </row>
    <row r="46" spans="2:49" x14ac:dyDescent="0.15">
      <c r="AU46" s="134"/>
    </row>
    <row r="47" spans="2:49" x14ac:dyDescent="0.15">
      <c r="AU47" s="134"/>
    </row>
  </sheetData>
  <sheetProtection algorithmName="SHA-512" hashValue="nCVuHgHQb0SBu/3uq5cBaZf7hduA10QL7rD1WFvfWUV29p/4DMXxNqVVmWKZI/WCRrHrDRmzANh/GhKSkXdSXw==" saltValue="5/aSPbxPak2lEVQ9WydI6Q==" spinCount="100000" sheet="1" objects="1" scenarios="1"/>
  <mergeCells count="29">
    <mergeCell ref="G10:H11"/>
    <mergeCell ref="M8:N8"/>
    <mergeCell ref="AS8:AT8"/>
    <mergeCell ref="K4:K5"/>
    <mergeCell ref="L4:L5"/>
    <mergeCell ref="M4:M5"/>
    <mergeCell ref="S11:T11"/>
    <mergeCell ref="S8:U8"/>
    <mergeCell ref="S9:T9"/>
    <mergeCell ref="S10:T10"/>
    <mergeCell ref="AF9:AF10"/>
    <mergeCell ref="J4:J5"/>
    <mergeCell ref="AA4:AE4"/>
    <mergeCell ref="C5:E5"/>
    <mergeCell ref="BE15:BF15"/>
    <mergeCell ref="BE16:BF16"/>
    <mergeCell ref="BE11:BF11"/>
    <mergeCell ref="BE12:BF12"/>
    <mergeCell ref="AW13:AW14"/>
    <mergeCell ref="BD13:BD14"/>
    <mergeCell ref="BE13:BF13"/>
    <mergeCell ref="BE14:BF14"/>
    <mergeCell ref="BD11:BD12"/>
    <mergeCell ref="BE10:BF10"/>
    <mergeCell ref="AU8:AV8"/>
    <mergeCell ref="AS5:AT5"/>
    <mergeCell ref="Q13:R13"/>
    <mergeCell ref="S13:T13"/>
    <mergeCell ref="G12:H12"/>
  </mergeCells>
  <phoneticPr fontId="3"/>
  <conditionalFormatting sqref="K15:K44">
    <cfRule type="expression" dxfId="36" priority="1">
      <formula>$K15&lt;88000</formula>
    </cfRule>
  </conditionalFormatting>
  <conditionalFormatting sqref="N15:N44">
    <cfRule type="expression" dxfId="35" priority="2">
      <formula>N15&gt;=$M$13</formula>
    </cfRule>
    <cfRule type="expression" dxfId="34" priority="3">
      <formula>N15&gt;=M$12</formula>
    </cfRule>
    <cfRule type="expression" dxfId="33" priority="4">
      <formula>N15&gt;$M$11</formula>
    </cfRule>
    <cfRule type="expression" dxfId="32" priority="5">
      <formula>N15&gt;$M$10</formula>
    </cfRule>
    <cfRule type="expression" dxfId="31" priority="6">
      <formula>N15&lt;=$M$9</formula>
    </cfRule>
  </conditionalFormatting>
  <pageMargins left="0.59055118110236227" right="0.59055118110236227" top="0.78740157480314965" bottom="0.59055118110236227" header="0.51181102362204722" footer="0.51181102362204722"/>
  <pageSetup paperSize="9" scale="70" pageOrder="overThenDown" orientation="landscape" r:id="rId1"/>
  <headerFooter alignWithMargins="0">
    <oddFooter>&amp;C&amp;P</oddFooter>
  </headerFooter>
  <rowBreaks count="1" manualBreakCount="1">
    <brk id="29" max="44" man="1"/>
  </rowBreaks>
  <colBreaks count="3" manualBreakCount="3">
    <brk id="23" max="43" man="1"/>
    <brk id="33" max="43" man="1"/>
    <brk id="43" max="43"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D9EDE-5B75-444F-A426-EAE4972C3EFA}">
  <sheetPr>
    <tabColor rgb="FFFF0000"/>
    <pageSetUpPr autoPageBreaks="0"/>
  </sheetPr>
  <dimension ref="B1:V46"/>
  <sheetViews>
    <sheetView showGridLines="0" zoomScaleNormal="100" zoomScaleSheetLayoutView="80" workbookViewId="0">
      <selection activeCell="C22" sqref="C22"/>
    </sheetView>
  </sheetViews>
  <sheetFormatPr defaultRowHeight="14.25" x14ac:dyDescent="0.15"/>
  <cols>
    <col min="1" max="1" width="2.625" style="778" customWidth="1"/>
    <col min="2" max="2" width="6" style="778" customWidth="1"/>
    <col min="3" max="3" width="18.125" style="778" customWidth="1"/>
    <col min="4" max="5" width="16.75" style="778" customWidth="1"/>
    <col min="6" max="6" width="8.5" style="778" customWidth="1"/>
    <col min="7" max="7" width="15.625" style="778" customWidth="1"/>
    <col min="8" max="11" width="16.5" style="778" customWidth="1"/>
    <col min="12" max="12" width="16.25" style="778" customWidth="1"/>
    <col min="13" max="13" width="10.875" style="778" customWidth="1"/>
    <col min="14" max="14" width="12.375" style="778" customWidth="1"/>
    <col min="15" max="15" width="15.625" style="778" customWidth="1"/>
    <col min="16" max="16" width="12.25" style="778" customWidth="1"/>
    <col min="17" max="17" width="25.75" style="778" customWidth="1"/>
    <col min="18" max="18" width="9" style="780"/>
    <col min="19" max="19" width="14.25" style="778" customWidth="1"/>
    <col min="20" max="20" width="19.75" style="778" customWidth="1"/>
    <col min="21" max="21" width="31.875" style="778" customWidth="1"/>
    <col min="22" max="22" width="19.75" style="778" customWidth="1"/>
    <col min="23" max="16384" width="9" style="778"/>
  </cols>
  <sheetData>
    <row r="1" spans="2:21" ht="30.75" customHeight="1" x14ac:dyDescent="0.15">
      <c r="C1" s="779"/>
      <c r="D1" s="779"/>
      <c r="E1" s="779"/>
      <c r="F1" s="779"/>
      <c r="G1" s="779"/>
      <c r="H1" s="779"/>
      <c r="I1" s="779"/>
      <c r="J1" s="779"/>
      <c r="K1" s="779"/>
      <c r="L1" s="779"/>
      <c r="M1" s="779"/>
      <c r="N1" s="779"/>
      <c r="O1" s="779"/>
      <c r="P1" s="779"/>
    </row>
    <row r="2" spans="2:21" ht="38.25" customHeight="1" x14ac:dyDescent="0.15">
      <c r="H2" s="781"/>
      <c r="I2" s="782"/>
      <c r="J2" s="782"/>
      <c r="K2" s="782"/>
    </row>
    <row r="3" spans="2:21" ht="24" customHeight="1" x14ac:dyDescent="0.15">
      <c r="C3" s="783" t="s">
        <v>378</v>
      </c>
      <c r="D3" s="784"/>
      <c r="E3" s="784"/>
      <c r="F3" s="784"/>
      <c r="G3" s="784"/>
      <c r="H3" s="784"/>
      <c r="I3" s="784"/>
      <c r="J3" s="784"/>
      <c r="K3" s="784"/>
      <c r="L3" s="784"/>
      <c r="M3" s="784"/>
      <c r="Q3" s="785" t="s">
        <v>165</v>
      </c>
    </row>
    <row r="4" spans="2:21" ht="8.25" customHeight="1" x14ac:dyDescent="0.15">
      <c r="C4" s="786"/>
      <c r="D4" s="786"/>
      <c r="E4" s="786"/>
      <c r="F4" s="786"/>
      <c r="G4" s="786"/>
      <c r="H4" s="786"/>
      <c r="M4" s="1038" t="s">
        <v>350</v>
      </c>
      <c r="N4" s="1039"/>
      <c r="O4" s="1039"/>
      <c r="P4" s="1039"/>
      <c r="Q4" s="1040"/>
    </row>
    <row r="5" spans="2:21" ht="24" customHeight="1" x14ac:dyDescent="0.15">
      <c r="C5" s="787" t="s">
        <v>79</v>
      </c>
      <c r="D5" s="833">
        <f>IF('4-1.手当等支給メニュー'!$E$4="","",'4-1.手当等支給メニュー'!$E$4)</f>
        <v>103</v>
      </c>
      <c r="E5" s="787" t="s">
        <v>110</v>
      </c>
      <c r="F5" s="1047" t="str">
        <f>IF('4-1.手当等支給メニュー'!$C$6="","",'4-1.手当等支給メニュー'!$C$6)&amp;"　様"</f>
        <v>ＡＣ　様</v>
      </c>
      <c r="G5" s="1048"/>
      <c r="H5" s="730"/>
      <c r="L5" s="788"/>
      <c r="M5" s="1041"/>
      <c r="N5" s="1042"/>
      <c r="O5" s="1042"/>
      <c r="P5" s="1042"/>
      <c r="Q5" s="1043"/>
    </row>
    <row r="6" spans="2:21" ht="24" customHeight="1" x14ac:dyDescent="0.15">
      <c r="C6" s="789" t="s">
        <v>168</v>
      </c>
      <c r="D6" s="790">
        <f>IF('4-1.手当等支給メニュー'!$E$7="","",'4-1.手当等支給メニュー'!$E$7)</f>
        <v>4</v>
      </c>
      <c r="E6" s="791" t="s">
        <v>293</v>
      </c>
      <c r="F6" s="834">
        <f>IF('4-1.手当等支給メニュー'!$E$9="","",'4-1.手当等支給メニュー'!$E$9)</f>
        <v>960</v>
      </c>
      <c r="G6" s="835" t="s">
        <v>305</v>
      </c>
      <c r="H6" s="792" t="s">
        <v>166</v>
      </c>
      <c r="M6" s="1041"/>
      <c r="N6" s="1042"/>
      <c r="O6" s="1042"/>
      <c r="P6" s="1042"/>
      <c r="Q6" s="1043"/>
      <c r="S6" s="780"/>
    </row>
    <row r="7" spans="2:21" ht="24" customHeight="1" x14ac:dyDescent="0.15">
      <c r="C7" s="789" t="s">
        <v>102</v>
      </c>
      <c r="D7" s="790">
        <f>IF('4-1.手当等支給メニュー'!$E$8="","",'4-1.手当等支給メニュー'!$E$8)</f>
        <v>4</v>
      </c>
      <c r="E7" s="733" t="s">
        <v>294</v>
      </c>
      <c r="F7" s="836">
        <f>IF('4-1.手当等支給メニュー'!$C$13="","",'4-1.手当等支給メニュー'!$C$13)</f>
        <v>40</v>
      </c>
      <c r="G7" s="835" t="s">
        <v>305</v>
      </c>
      <c r="H7" s="793" t="s">
        <v>167</v>
      </c>
      <c r="M7" s="1044"/>
      <c r="N7" s="1045"/>
      <c r="O7" s="1045"/>
      <c r="P7" s="1045"/>
      <c r="Q7" s="1046"/>
      <c r="S7" s="794"/>
      <c r="T7" s="794"/>
    </row>
    <row r="8" spans="2:21" s="794" customFormat="1" ht="7.5" customHeight="1" thickBot="1" x14ac:dyDescent="0.2">
      <c r="G8" s="795"/>
      <c r="H8" s="796"/>
      <c r="I8" s="797"/>
      <c r="J8" s="797"/>
      <c r="K8" s="797"/>
      <c r="L8" s="778"/>
      <c r="M8" s="778"/>
      <c r="N8" s="837"/>
      <c r="O8" s="838"/>
      <c r="P8" s="778"/>
      <c r="R8" s="829"/>
      <c r="S8" s="778"/>
      <c r="T8" s="778"/>
    </row>
    <row r="9" spans="2:21" ht="65.25" customHeight="1" thickBot="1" x14ac:dyDescent="0.2">
      <c r="B9" s="798" t="s">
        <v>18</v>
      </c>
      <c r="C9" s="839" t="s">
        <v>295</v>
      </c>
      <c r="D9" s="840" t="s">
        <v>318</v>
      </c>
      <c r="E9" s="839" t="s">
        <v>317</v>
      </c>
      <c r="F9" s="839" t="s">
        <v>323</v>
      </c>
      <c r="G9" s="839" t="s">
        <v>106</v>
      </c>
      <c r="H9" s="841" t="s">
        <v>319</v>
      </c>
      <c r="I9" s="842" t="s">
        <v>296</v>
      </c>
      <c r="J9" s="842" t="s">
        <v>256</v>
      </c>
      <c r="K9" s="842" t="s">
        <v>349</v>
      </c>
      <c r="L9" s="843" t="s">
        <v>114</v>
      </c>
      <c r="M9" s="844" t="s">
        <v>91</v>
      </c>
      <c r="N9" s="845" t="s">
        <v>141</v>
      </c>
      <c r="O9" s="846" t="s">
        <v>120</v>
      </c>
      <c r="P9" s="846" t="s">
        <v>303</v>
      </c>
      <c r="Q9" s="799" t="s">
        <v>324</v>
      </c>
      <c r="S9" s="1036" t="s">
        <v>314</v>
      </c>
      <c r="T9" s="1037"/>
      <c r="U9" s="848"/>
    </row>
    <row r="10" spans="2:21" ht="13.5" hidden="1" customHeight="1" thickBot="1" x14ac:dyDescent="0.2">
      <c r="B10" s="849"/>
      <c r="C10" s="850"/>
      <c r="D10" s="851"/>
      <c r="E10" s="801"/>
      <c r="F10" s="801"/>
      <c r="G10" s="801"/>
      <c r="H10" s="802"/>
      <c r="I10" s="803">
        <v>0</v>
      </c>
      <c r="J10" s="803"/>
      <c r="K10" s="803"/>
      <c r="L10" s="804"/>
      <c r="M10" s="804"/>
      <c r="N10" s="804"/>
      <c r="O10" s="805"/>
      <c r="P10" s="806"/>
      <c r="Q10" s="807"/>
      <c r="S10" s="800"/>
      <c r="T10" s="847"/>
    </row>
    <row r="11" spans="2:21" ht="24" customHeight="1" thickBot="1" x14ac:dyDescent="0.2">
      <c r="B11" s="827">
        <v>1</v>
      </c>
      <c r="C11" s="818">
        <f>IF('4-1.手当等支給メニュー'!$C15="","",'4-1.手当等支給メニュー'!$C15)</f>
        <v>1000</v>
      </c>
      <c r="D11" s="852">
        <f>IF('4-1.手当等支給メニュー'!$E15="","",IF($C11="","",'4-1.手当等支給メニュー'!$E15))</f>
        <v>0</v>
      </c>
      <c r="E11" s="853">
        <f>IF('4-1.手当等支給メニュー'!$G15="","",IF($C11="","",'4-1.手当等支給メニュー'!$G15))</f>
        <v>0</v>
      </c>
      <c r="F11" s="808">
        <f>IF('4-1.手当等支給メニュー'!$I15="","",IF($C11="","",'4-1.手当等支給メニュー'!$I15))</f>
        <v>16</v>
      </c>
      <c r="G11" s="810">
        <f>IF('4-1.手当等支給メニュー'!$K15="","",IF($C11="","",'4-1.手当等支給メニュー'!$K15))</f>
        <v>69523.809523809527</v>
      </c>
      <c r="H11" s="811">
        <f>IF('4-1.手当等支給メニュー'!$L15="","",IF($C11="","",'4-1.手当等支給メニュー'!$L15))</f>
        <v>69523.809523809527</v>
      </c>
      <c r="I11" s="812">
        <f>IF('4-1.手当等支給メニュー'!$M15="","",IF($H11="","",'4-1.手当等支給メニュー'!$M15))</f>
        <v>71523.809523809527</v>
      </c>
      <c r="J11" s="854">
        <f>IF('4-1.手当等支給メニュー'!$N15="","",IF($H11="","",'4-1.手当等支給メニュー'!$N15))</f>
        <v>858285.71428571432</v>
      </c>
      <c r="K11" s="854">
        <f>IF($C11="","",IF('4-1.手当等支給メニュー'!$R15="","",'4-1.手当等支給メニュー'!$R15))</f>
        <v>78000</v>
      </c>
      <c r="L11" s="813">
        <f>IF('4-1.手当等支給メニュー'!$AG15="","",IF($C11="","",'4-1.手当等支給メニュー'!$AG15))</f>
        <v>0</v>
      </c>
      <c r="M11" s="810">
        <f>IF('4-1.手当等支給メニュー'!$AP15="","",IF($C11="","",'4-1.手当等支給メニュー'!$AP15))</f>
        <v>0</v>
      </c>
      <c r="N11" s="814">
        <f>IF('4-1.手当等支給メニュー'!$AV15="","",IF($C11="","",'4-1.手当等支給メニュー'!$AV15))</f>
        <v>0</v>
      </c>
      <c r="O11" s="812">
        <f>IF('4-1.手当等支給メニュー'!$AW15="","",IF($C11="","",'4-1.手当等支給メニュー'!$AW15))</f>
        <v>858285.71428571432</v>
      </c>
      <c r="P11" s="815" t="s">
        <v>302</v>
      </c>
      <c r="Q11" s="819"/>
      <c r="S11" s="816">
        <v>1000000</v>
      </c>
      <c r="T11" s="855" t="s">
        <v>298</v>
      </c>
      <c r="U11" s="856" t="s">
        <v>306</v>
      </c>
    </row>
    <row r="12" spans="2:21" ht="24" customHeight="1" x14ac:dyDescent="0.15">
      <c r="B12" s="817">
        <v>2</v>
      </c>
      <c r="C12" s="818">
        <f>IF('4-1.手当等支給メニュー'!$C16="","",'4-1.手当等支給メニュー'!$C16)</f>
        <v>1000</v>
      </c>
      <c r="D12" s="857">
        <f>IF('4-1.手当等支給メニュー'!$E16="","",IF($C12="","",'4-1.手当等支給メニュー'!$E16))</f>
        <v>0</v>
      </c>
      <c r="E12" s="858">
        <f>IF('4-1.手当等支給メニュー'!$G16="","",IF($C12="","",'4-1.手当等支給メニュー'!$G16))</f>
        <v>0</v>
      </c>
      <c r="F12" s="809">
        <f>IF('4-1.手当等支給メニュー'!$I16="","",IF($C12="","",'4-1.手当等支給メニュー'!$I16))</f>
        <v>17</v>
      </c>
      <c r="G12" s="821">
        <f>IF('4-1.手当等支給メニュー'!$K16="","",IF($C12="","",'4-1.手当等支給メニュー'!$K16))</f>
        <v>73869.047619047618</v>
      </c>
      <c r="H12" s="811">
        <f>IF('4-1.手当等支給メニュー'!$L16="","",IF($C12="","",'4-1.手当等支給メニュー'!$L16))</f>
        <v>73869.047619047618</v>
      </c>
      <c r="I12" s="812">
        <f>IF('4-1.手当等支給メニュー'!$M16="","",IF($H12="","",'4-1.手当等支給メニュー'!$M16))</f>
        <v>75869.047619047618</v>
      </c>
      <c r="J12" s="854">
        <f>IF('4-1.手当等支給メニュー'!$N16="","",IF($H12="","",'4-1.手当等支給メニュー'!$N16))</f>
        <v>910428.57142857136</v>
      </c>
      <c r="K12" s="854">
        <f>IF($C12="","",IF('4-1.手当等支給メニュー'!$R16="","",'4-1.手当等支給メニュー'!$R16))</f>
        <v>78000</v>
      </c>
      <c r="L12" s="823">
        <f>IF('4-1.手当等支給メニュー'!$AG16="","",IF($C12="","",'4-1.手当等支給メニュー'!$AG16))</f>
        <v>0</v>
      </c>
      <c r="M12" s="824">
        <f>IF('4-1.手当等支給メニュー'!$AP16="","",IF($C12="","",'4-1.手当等支給メニュー'!$AP16))</f>
        <v>0</v>
      </c>
      <c r="N12" s="825">
        <f>IF('4-1.手当等支給メニュー'!$AV16="","",IF($C12="","",'4-1.手当等支給メニュー'!$AV16))</f>
        <v>0</v>
      </c>
      <c r="O12" s="812">
        <f>IF('4-1.手当等支給メニュー'!$AW16="","",IF($C12="","",'4-1.手当等支給メニュー'!$AW16))</f>
        <v>910428.57142857136</v>
      </c>
      <c r="P12" s="824">
        <f>IF($C12="","",IF($O12=0,0,$O12-$O11))</f>
        <v>52142.857142857043</v>
      </c>
      <c r="Q12" s="819"/>
      <c r="S12" s="826">
        <v>1000000</v>
      </c>
      <c r="T12" s="859" t="s">
        <v>299</v>
      </c>
      <c r="U12" s="860" t="s">
        <v>306</v>
      </c>
    </row>
    <row r="13" spans="2:21" ht="24" customHeight="1" x14ac:dyDescent="0.15">
      <c r="B13" s="827">
        <v>3</v>
      </c>
      <c r="C13" s="818">
        <f>IF('4-1.手当等支給メニュー'!$C17="","",'4-1.手当等支給メニュー'!$C17)</f>
        <v>1000</v>
      </c>
      <c r="D13" s="857">
        <f>IF('4-1.手当等支給メニュー'!$E17="","",IF($C13="","",'4-1.手当等支給メニュー'!$E17))</f>
        <v>0</v>
      </c>
      <c r="E13" s="861">
        <f>IF('4-1.手当等支給メニュー'!$G17="","",IF($C13="","",'4-1.手当等支給メニュー'!$G17))</f>
        <v>0</v>
      </c>
      <c r="F13" s="820">
        <f>IF('4-1.手当等支給メニュー'!$I17="","",IF($C13="","",'4-1.手当等支給メニュー'!$I17))</f>
        <v>18</v>
      </c>
      <c r="G13" s="821">
        <f>IF('4-1.手当等支給メニュー'!$K17="","",IF($C13="","",'4-1.手当等支給メニュー'!$K17))</f>
        <v>78214.28571428571</v>
      </c>
      <c r="H13" s="811">
        <f>IF('4-1.手当等支給メニュー'!$L17="","",IF($C13="","",'4-1.手当等支給メニュー'!$L17))</f>
        <v>78214.28571428571</v>
      </c>
      <c r="I13" s="812">
        <f>IF('4-1.手当等支給メニュー'!$M17="","",IF($H13="","",'4-1.手当等支給メニュー'!$M17))</f>
        <v>80214.28571428571</v>
      </c>
      <c r="J13" s="854">
        <f>IF('4-1.手当等支給メニュー'!$N17="","",IF($H13="","",'4-1.手当等支給メニュー'!$N17))</f>
        <v>962571.42857142852</v>
      </c>
      <c r="K13" s="854">
        <f>IF($C13="","",IF('4-1.手当等支給メニュー'!$R17="","",'4-1.手当等支給メニュー'!$R17))</f>
        <v>78000</v>
      </c>
      <c r="L13" s="823">
        <f>IF('4-1.手当等支給メニュー'!$AG17="","",IF($C13="","",'4-1.手当等支給メニュー'!$AG17))</f>
        <v>0</v>
      </c>
      <c r="M13" s="824">
        <f>IF('4-1.手当等支給メニュー'!$AP17="","",IF($C13="","",'4-1.手当等支給メニュー'!$AP17))</f>
        <v>0</v>
      </c>
      <c r="N13" s="825">
        <f>IF('4-1.手当等支給メニュー'!$AV17="","",IF($C13="","",'4-1.手当等支給メニュー'!$AV17))</f>
        <v>0</v>
      </c>
      <c r="O13" s="812">
        <f>IF('4-1.手当等支給メニュー'!$AW17="","",IF($C13="","",'4-1.手当等支給メニュー'!$AW17))</f>
        <v>962571.42857142852</v>
      </c>
      <c r="P13" s="824">
        <f>IF($C13="","",IF($O13=0,0,$O13-$O12))</f>
        <v>52142.857142857159</v>
      </c>
      <c r="Q13" s="819"/>
      <c r="S13" s="826">
        <v>1030000</v>
      </c>
      <c r="T13" s="862" t="s">
        <v>301</v>
      </c>
      <c r="U13" s="860" t="s">
        <v>307</v>
      </c>
    </row>
    <row r="14" spans="2:21" ht="24" customHeight="1" x14ac:dyDescent="0.15">
      <c r="B14" s="817">
        <v>4</v>
      </c>
      <c r="C14" s="818">
        <f>IF('4-1.手当等支給メニュー'!$C18="","",'4-1.手当等支給メニュー'!$C18)</f>
        <v>1000</v>
      </c>
      <c r="D14" s="857">
        <f>IF('4-1.手当等支給メニュー'!$E18="","",IF($C14="","",'4-1.手当等支給メニュー'!$E18))</f>
        <v>0</v>
      </c>
      <c r="E14" s="861">
        <f>IF('4-1.手当等支給メニュー'!$G18="","",IF($C14="","",'4-1.手当等支給メニュー'!$G18))</f>
        <v>0</v>
      </c>
      <c r="F14" s="820">
        <f>IF('4-1.手当等支給メニュー'!$I18="","",IF($C14="","",'4-1.手当等支給メニュー'!$I18))</f>
        <v>19</v>
      </c>
      <c r="G14" s="821">
        <f>IF('4-1.手当等支給メニュー'!$K18="","",IF($C14="","",'4-1.手当等支給メニュー'!$K18))</f>
        <v>82559.523809523802</v>
      </c>
      <c r="H14" s="811">
        <f>IF('4-1.手当等支給メニュー'!$L18="","",IF($C14="","",'4-1.手当等支給メニュー'!$L18))</f>
        <v>82559.523809523802</v>
      </c>
      <c r="I14" s="812">
        <f>IF('4-1.手当等支給メニュー'!$M18="","",IF($H14="","",'4-1.手当等支給メニュー'!$M18))</f>
        <v>84559.523809523802</v>
      </c>
      <c r="J14" s="854">
        <f>IF('4-1.手当等支給メニュー'!$N18="","",IF($H14="","",'4-1.手当等支給メニュー'!$N18))</f>
        <v>1014714.2857142857</v>
      </c>
      <c r="K14" s="854">
        <f>IF($C14="","",IF('4-1.手当等支給メニュー'!$R18="","",'4-1.手当等支給メニュー'!$R18))</f>
        <v>88000</v>
      </c>
      <c r="L14" s="823">
        <f>IF('4-1.手当等支給メニュー'!$AG18="","",IF($C14="","",'4-1.手当等支給メニュー'!$AG18))</f>
        <v>0</v>
      </c>
      <c r="M14" s="824">
        <f>IF('4-1.手当等支給メニュー'!$AP18="","",IF($C14="","",'4-1.手当等支給メニュー'!$AP18))</f>
        <v>0</v>
      </c>
      <c r="N14" s="825">
        <f>IF('4-1.手当等支給メニュー'!$AV18="","",IF($C14="","",'4-1.手当等支給メニュー'!$AV18))</f>
        <v>6400</v>
      </c>
      <c r="O14" s="812">
        <f>IF('4-1.手当等支給メニュー'!$AW18="","",IF($C14="","",'4-1.手当等支給メニュー'!$AW18))</f>
        <v>1008314.2857142857</v>
      </c>
      <c r="P14" s="863">
        <f t="shared" ref="P14:P40" si="0">IF($C14="","",IF($O14=0,0,$O14-$O13))</f>
        <v>45742.857142857159</v>
      </c>
      <c r="Q14" s="819"/>
      <c r="S14" s="826">
        <v>1060000</v>
      </c>
      <c r="T14" s="864" t="s">
        <v>309</v>
      </c>
      <c r="U14" s="860" t="s">
        <v>310</v>
      </c>
    </row>
    <row r="15" spans="2:21" ht="24" customHeight="1" thickBot="1" x14ac:dyDescent="0.2">
      <c r="B15" s="827">
        <v>5</v>
      </c>
      <c r="C15" s="818">
        <f>IF('4-1.手当等支給メニュー'!$C19="","",'4-1.手当等支給メニュー'!$C19)</f>
        <v>1000</v>
      </c>
      <c r="D15" s="857">
        <f>IF('4-1.手当等支給メニュー'!$E19="","",IF($C15="","",'4-1.手当等支給メニュー'!$E19))</f>
        <v>0</v>
      </c>
      <c r="E15" s="861">
        <f>IF('4-1.手当等支給メニュー'!$G19="","",IF($C15="","",'4-1.手当等支給メニュー'!$G19))</f>
        <v>0</v>
      </c>
      <c r="F15" s="820">
        <f>IF('4-1.手当等支給メニュー'!$I19="","",IF($C15="","",'4-1.手当等支給メニュー'!$I19))</f>
        <v>20</v>
      </c>
      <c r="G15" s="821">
        <f>IF('4-1.手当等支給メニュー'!$K19="","",IF($C15="","",'4-1.手当等支給メニュー'!$K19))</f>
        <v>86904.761904761908</v>
      </c>
      <c r="H15" s="811">
        <f>IF('4-1.手当等支給メニュー'!$L19="","",IF($C15="","",'4-1.手当等支給メニュー'!$L19))</f>
        <v>86904.761904761908</v>
      </c>
      <c r="I15" s="812">
        <f>IF('4-1.手当等支給メニュー'!$M19="","",IF($H15="","",'4-1.手当等支給メニュー'!$M19))</f>
        <v>88904.761904761908</v>
      </c>
      <c r="J15" s="854">
        <f>IF('4-1.手当等支給メニュー'!$N19="","",IF($H15="","",'4-1.手当等支給メニュー'!$N19))</f>
        <v>1066857.142857143</v>
      </c>
      <c r="K15" s="854">
        <f>IF($C15="","",IF('4-1.手当等支給メニュー'!$R19="","",'4-1.手当等支給メニュー'!$R19))</f>
        <v>88000</v>
      </c>
      <c r="L15" s="823">
        <f>IF('4-1.手当等支給メニュー'!$AG19="","",IF($C15="","",'4-1.手当等支給メニュー'!$AG19))</f>
        <v>6401.1428571428578</v>
      </c>
      <c r="M15" s="824">
        <f>IF('4-1.手当等支給メニュー'!$AP19="","",IF($C15="","",'4-1.手当等支給メニュー'!$AP19))</f>
        <v>1500</v>
      </c>
      <c r="N15" s="825">
        <f>IF('4-1.手当等支給メニュー'!$AV19="","",IF($C15="","",'4-1.手当等支給メニュー'!$AV19))</f>
        <v>11000</v>
      </c>
      <c r="O15" s="812">
        <f>IF('4-1.手当等支給メニュー'!$AW19="","",IF($C15="","",'4-1.手当等支給メニュー'!$AW19))</f>
        <v>1047956</v>
      </c>
      <c r="P15" s="863">
        <f t="shared" si="0"/>
        <v>39641.714285714319</v>
      </c>
      <c r="Q15" s="819"/>
      <c r="S15" s="828">
        <v>1300000</v>
      </c>
      <c r="T15" s="865" t="s">
        <v>300</v>
      </c>
      <c r="U15" s="866" t="s">
        <v>308</v>
      </c>
    </row>
    <row r="16" spans="2:21" ht="24" customHeight="1" x14ac:dyDescent="0.15">
      <c r="B16" s="827">
        <v>6</v>
      </c>
      <c r="C16" s="818">
        <f>IF('4-1.手当等支給メニュー'!$C20="","",'4-1.手当等支給メニュー'!$C20)</f>
        <v>1000</v>
      </c>
      <c r="D16" s="857">
        <f>IF('4-1.手当等支給メニュー'!$E20="","",IF($C16="","",'4-1.手当等支給メニュー'!$E20))</f>
        <v>14700</v>
      </c>
      <c r="E16" s="861">
        <f>IF('4-1.手当等支給メニュー'!$G20="","",IF($C16="","",'4-1.手当等支給メニュー'!$G20))</f>
        <v>0</v>
      </c>
      <c r="F16" s="820">
        <f>IF('4-1.手当等支給メニュー'!$I20="","",IF($C16="","",'4-1.手当等支給メニュー'!$I20))</f>
        <v>21</v>
      </c>
      <c r="G16" s="821">
        <f>IF('4-1.手当等支給メニュー'!$K20="","",IF($C16="","",'4-1.手当等支給メニュー'!$K20))</f>
        <v>91250</v>
      </c>
      <c r="H16" s="811">
        <f>IF('4-1.手当等支給メニュー'!$L20="","",IF($C16="","",'4-1.手当等支給メニュー'!$L20))</f>
        <v>105950</v>
      </c>
      <c r="I16" s="812">
        <f>IF('4-1.手当等支給メニュー'!$M20="","",IF($H16="","",'4-1.手当等支給メニュー'!$M20))</f>
        <v>107950</v>
      </c>
      <c r="J16" s="854">
        <f>IF('4-1.手当等支給メニュー'!$N20="","",IF($H16="","",'4-1.手当等支給メニュー'!$N20))</f>
        <v>1295400</v>
      </c>
      <c r="K16" s="854">
        <f>IF($C16="","",IF('4-1.手当等支給メニュー'!$R20="","",'4-1.手当等支給メニュー'!$R20))</f>
        <v>98000</v>
      </c>
      <c r="L16" s="823">
        <f>IF('4-1.手当等支給メニュー'!$AG20="","",IF($C16="","",'4-1.手当等支給メニュー'!$AG20))</f>
        <v>175881.60000000001</v>
      </c>
      <c r="M16" s="824">
        <f>IF('4-1.手当等支給メニュー'!$AP20="","",IF($C16="","",'4-1.手当等支給メニュー'!$AP20))</f>
        <v>4500</v>
      </c>
      <c r="N16" s="825">
        <f>IF('4-1.手当等支給メニュー'!$AV20="","",IF($C16="","",'4-1.手当等支給メニュー'!$AV20))</f>
        <v>16900</v>
      </c>
      <c r="O16" s="812">
        <f>IF('4-1.手当等支給メニュー'!$AW20="","",IF($C16="","",'4-1.手当等支給メニュー'!$AW20))</f>
        <v>1098118.3999999999</v>
      </c>
      <c r="P16" s="863">
        <f t="shared" si="0"/>
        <v>50162.399999999907</v>
      </c>
      <c r="Q16" s="819"/>
      <c r="R16" s="829"/>
      <c r="S16" s="830" t="s">
        <v>312</v>
      </c>
      <c r="T16" s="867"/>
      <c r="U16" s="848"/>
    </row>
    <row r="17" spans="2:22" ht="24" customHeight="1" x14ac:dyDescent="0.15">
      <c r="B17" s="827">
        <v>7</v>
      </c>
      <c r="C17" s="818">
        <f>IF('4-1.手当等支給メニュー'!$C21="","",'4-1.手当等支給メニュー'!$C21)</f>
        <v>1000</v>
      </c>
      <c r="D17" s="857">
        <f>IF('4-1.手当等支給メニュー'!$E21="","",IF($C17="","",'4-1.手当等支給メニュー'!$E21))</f>
        <v>14700</v>
      </c>
      <c r="E17" s="861">
        <f>IF('4-1.手当等支給メニュー'!$G21="","",IF($C17="","",'4-1.手当等支給メニュー'!$G21))</f>
        <v>0</v>
      </c>
      <c r="F17" s="820">
        <f>IF('4-1.手当等支給メニュー'!$I21="","",IF($C17="","",'4-1.手当等支給メニュー'!$I21))</f>
        <v>22</v>
      </c>
      <c r="G17" s="821">
        <f>IF('4-1.手当等支給メニュー'!$K21="","",IF($C17="","",'4-1.手当等支給メニュー'!$K21))</f>
        <v>95595.238095238092</v>
      </c>
      <c r="H17" s="822">
        <f>IF('4-1.手当等支給メニュー'!$L21="","",IF($C17="","",'4-1.手当等支給メニュー'!$L21))</f>
        <v>110295.23809523809</v>
      </c>
      <c r="I17" s="812">
        <f>IF('4-1.手当等支給メニュー'!$M21="","",IF($H17="","",'4-1.手当等支給メニュー'!$M21))</f>
        <v>112295.23809523809</v>
      </c>
      <c r="J17" s="854">
        <f>IF('4-1.手当等支給メニュー'!$N21="","",IF($H17="","",'4-1.手当等支給メニュー'!$N21))</f>
        <v>1347542.857142857</v>
      </c>
      <c r="K17" s="854">
        <f>IF($C17="","",IF('4-1.手当等支給メニュー'!$R21="","",'4-1.手当等支給メニュー'!$R21))</f>
        <v>98000</v>
      </c>
      <c r="L17" s="823">
        <f>IF('4-1.手当等支給メニュー'!$AG21="","",IF($C17="","",'4-1.手当等支給メニュー'!$AG21))</f>
        <v>176194.45714285717</v>
      </c>
      <c r="M17" s="824">
        <f>IF('4-1.手当等支給メニュー'!$AP21="","",IF($C17="","",'4-1.手当等支給メニュー'!$AP21))</f>
        <v>7100</v>
      </c>
      <c r="N17" s="825">
        <f>IF('4-1.手当等支給メニュー'!$AV21="","",IF($C17="","",'4-1.手当等支給メニュー'!$AV21))</f>
        <v>22100</v>
      </c>
      <c r="O17" s="812">
        <f>IF('4-1.手当等支給メニュー'!$AW21="","",IF($C17="","",'4-1.手当等支給メニュー'!$AW21))</f>
        <v>1142148.3999999999</v>
      </c>
      <c r="P17" s="863">
        <f t="shared" si="0"/>
        <v>44030</v>
      </c>
      <c r="Q17" s="819"/>
      <c r="R17" s="829"/>
      <c r="S17" s="831" t="s">
        <v>313</v>
      </c>
      <c r="T17" s="868"/>
      <c r="U17" s="848"/>
    </row>
    <row r="18" spans="2:22" ht="24" customHeight="1" x14ac:dyDescent="0.15">
      <c r="B18" s="817">
        <v>8</v>
      </c>
      <c r="C18" s="818">
        <f>IF('4-1.手当等支給メニュー'!$C22="","",'4-1.手当等支給メニュー'!$C22)</f>
        <v>1000</v>
      </c>
      <c r="D18" s="857">
        <f>IF('4-1.手当等支給メニュー'!$E22="","",IF($C18="","",'4-1.手当等支給メニュー'!$E22))</f>
        <v>15600</v>
      </c>
      <c r="E18" s="861">
        <f>IF('4-1.手当等支給メニュー'!$G22="","",IF($C18="","",'4-1.手当等支給メニュー'!$G22))</f>
        <v>0</v>
      </c>
      <c r="F18" s="820">
        <f>IF('4-1.手当等支給メニュー'!$I22="","",IF($C18="","",'4-1.手当等支給メニュー'!$I22))</f>
        <v>23</v>
      </c>
      <c r="G18" s="821">
        <f>IF('4-1.手当等支給メニュー'!$K22="","",IF($C18="","",'4-1.手当等支給メニュー'!$K22))</f>
        <v>99940.476190476198</v>
      </c>
      <c r="H18" s="822">
        <f>IF('4-1.手当等支給メニュー'!$L22="","",IF($C18="","",'4-1.手当等支給メニュー'!$L22))</f>
        <v>115540.4761904762</v>
      </c>
      <c r="I18" s="812">
        <f>IF('4-1.手当等支給メニュー'!$M22="","",IF($H18="","",'4-1.手当等支給メニュー'!$M22))</f>
        <v>117540.4761904762</v>
      </c>
      <c r="J18" s="854">
        <f>IF('4-1.手当等支給メニュー'!$N22="","",IF($H18="","",'4-1.手当等支給メニュー'!$N22))</f>
        <v>1410485.7142857143</v>
      </c>
      <c r="K18" s="854">
        <f>IF($C18="","",IF('4-1.手当等支給メニュー'!$R22="","",'4-1.手当等支給メニュー'!$R22))</f>
        <v>104000</v>
      </c>
      <c r="L18" s="823">
        <f>IF('4-1.手当等支給メニュー'!$AG22="","",IF($C18="","",'4-1.手当等支給メニュー'!$AG22))</f>
        <v>186864.51428571425</v>
      </c>
      <c r="M18" s="824">
        <f>IF('4-1.手当等支給メニュー'!$AP22="","",IF($C18="","",'4-1.手当等支給メニュー'!$AP22))</f>
        <v>9800</v>
      </c>
      <c r="N18" s="825">
        <f>IF('4-1.手当等支給メニュー'!$AV22="","",IF($C18="","",'4-1.手当等支給メニュー'!$AV22))</f>
        <v>27300</v>
      </c>
      <c r="O18" s="812">
        <f>IF('4-1.手当等支給メニュー'!$AW22="","",IF($C18="","",'4-1.手当等支給メニュー'!$AW22))</f>
        <v>1186521.2000000002</v>
      </c>
      <c r="P18" s="863">
        <f t="shared" si="0"/>
        <v>44372.800000000279</v>
      </c>
      <c r="Q18" s="819"/>
      <c r="R18" s="829"/>
      <c r="S18" s="869"/>
      <c r="T18" s="869"/>
    </row>
    <row r="19" spans="2:22" ht="24" customHeight="1" x14ac:dyDescent="0.15">
      <c r="B19" s="827">
        <v>9</v>
      </c>
      <c r="C19" s="818">
        <f>IF('4-1.手当等支給メニュー'!$C23="","",'4-1.手当等支給メニュー'!$C23)</f>
        <v>1000</v>
      </c>
      <c r="D19" s="857">
        <f>IF('4-1.手当等支給メニュー'!$E23="","",IF($C19="","",'4-1.手当等支給メニュー'!$E23))</f>
        <v>0</v>
      </c>
      <c r="E19" s="861">
        <f>IF('4-1.手当等支給メニュー'!$G23="","",IF($C19="","",'4-1.手当等支給メニュー'!$G23))</f>
        <v>18900</v>
      </c>
      <c r="F19" s="820">
        <f>IF('4-1.手当等支給メニュー'!$I23="","",IF($C19="","",'4-1.手当等支給メニュー'!$I23))</f>
        <v>24</v>
      </c>
      <c r="G19" s="821">
        <f>IF('4-1.手当等支給メニュー'!$K23="","",IF($C19="","",'4-1.手当等支給メニュー'!$K23))</f>
        <v>104285.71428571428</v>
      </c>
      <c r="H19" s="822">
        <f>IF('4-1.手当等支給メニュー'!$L23="","",IF($C19="","",'4-1.手当等支給メニュー'!$L23))</f>
        <v>123185.71428571428</v>
      </c>
      <c r="I19" s="812">
        <f>IF('4-1.手当等支給メニュー'!$M23="","",IF($H19="","",'4-1.手当等支給メニュー'!$M23))</f>
        <v>125185.71428571428</v>
      </c>
      <c r="J19" s="854">
        <f>IF('4-1.手当等支給メニュー'!$N23="","",IF($H19="","",'4-1.手当等支給メニュー'!$N23))</f>
        <v>1502228.5714285714</v>
      </c>
      <c r="K19" s="854">
        <f>IF($C19="","",IF('4-1.手当等支給メニュー'!$R23="","",'4-1.手当等支給メニュー'!$R23))</f>
        <v>126000</v>
      </c>
      <c r="L19" s="823">
        <f>IF('4-1.手当等支給メニュー'!$AG23="","",IF($C19="","",'4-1.手当等支給メニュー'!$AG23))</f>
        <v>225153.77142857146</v>
      </c>
      <c r="M19" s="824">
        <f>IF('4-1.手当等支給メニュー'!$AP23="","",IF($C19="","",'4-1.手当等支給メニュー'!$AP23))</f>
        <v>12600</v>
      </c>
      <c r="N19" s="825">
        <f>IF('4-1.手当等支給メニュー'!$AV23="","",IF($C19="","",'4-1.手当等支給メニュー'!$AV23))</f>
        <v>32700</v>
      </c>
      <c r="O19" s="812">
        <f>IF('4-1.手当等支給メニュー'!$AW23="","",IF($C19="","",'4-1.手当等支給メニュー'!$AW23))</f>
        <v>1231774.7999999998</v>
      </c>
      <c r="P19" s="863">
        <f>IF($C19="","",IF($O19=0,0,$O19-$O18))</f>
        <v>45253.599999999627</v>
      </c>
      <c r="Q19" s="819"/>
      <c r="S19" s="870"/>
    </row>
    <row r="20" spans="2:22" ht="24" customHeight="1" x14ac:dyDescent="0.15">
      <c r="B20" s="827">
        <v>10</v>
      </c>
      <c r="C20" s="818">
        <f>IF('4-1.手当等支給メニュー'!$C24="","",'4-1.手当等支給メニュー'!$C24)</f>
        <v>1000</v>
      </c>
      <c r="D20" s="857">
        <f>IF('4-1.手当等支給メニュー'!$E24="","",IF($C20="","",'4-1.手当等支給メニュー'!$E24))</f>
        <v>0</v>
      </c>
      <c r="E20" s="861">
        <f>IF('4-1.手当等支給メニュー'!$G24="","",IF($C20="","",'4-1.手当等支給メニュー'!$G24))</f>
        <v>20100</v>
      </c>
      <c r="F20" s="820">
        <f>IF('4-1.手当等支給メニュー'!$I24="","",IF($C20="","",'4-1.手当等支給メニュー'!$I24))</f>
        <v>25</v>
      </c>
      <c r="G20" s="821">
        <f>IF('4-1.手当等支給メニュー'!$K24="","",IF($C20="","",'4-1.手当等支給メニュー'!$K24))</f>
        <v>108630.95238095238</v>
      </c>
      <c r="H20" s="822">
        <f>IF('4-1.手当等支給メニュー'!$L24="","",IF($C20="","",'4-1.手当等支給メニュー'!$L24))</f>
        <v>128730.95238095238</v>
      </c>
      <c r="I20" s="812">
        <f>IF('4-1.手当等支給メニュー'!$M24="","",IF($H20="","",'4-1.手当等支給メニュー'!$M24))</f>
        <v>130730.95238095238</v>
      </c>
      <c r="J20" s="854">
        <f>IF('4-1.手当等支給メニュー'!$N24="","",IF($H20="","",'4-1.手当等支給メニュー'!$N24))</f>
        <v>1568771.4285714286</v>
      </c>
      <c r="K20" s="854">
        <f>IF($C20="","",IF('4-1.手当等支給メニュー'!$R24="","",'4-1.手当等支給メニュー'!$R24))</f>
        <v>134000</v>
      </c>
      <c r="L20" s="823">
        <f>IF('4-1.手当等支給メニュー'!$AG24="","",IF($C20="","",'4-1.手当等支給メニュー'!$AG24))</f>
        <v>239276.22857142854</v>
      </c>
      <c r="M20" s="824">
        <f>IF('4-1.手当等支給メニュー'!$AP24="","",IF($C20="","",'4-1.手当等支給メニュー'!$AP24))</f>
        <v>15200</v>
      </c>
      <c r="N20" s="825">
        <f>IF('4-1.手当等支給メニュー'!$AV24="","",IF($C20="","",'4-1.手当等支給メニュー'!$AV24))</f>
        <v>37900</v>
      </c>
      <c r="O20" s="812">
        <f>IF('4-1.手当等支給メニュー'!$AW24="","",IF($C20="","",'4-1.手当等支給メニュー'!$AW24))</f>
        <v>1276395.2000000002</v>
      </c>
      <c r="P20" s="863">
        <f t="shared" si="0"/>
        <v>44620.400000000373</v>
      </c>
      <c r="Q20" s="819"/>
      <c r="S20" s="832"/>
      <c r="T20" s="794"/>
      <c r="U20" s="794"/>
      <c r="V20" s="794"/>
    </row>
    <row r="21" spans="2:22" ht="24" customHeight="1" x14ac:dyDescent="0.15">
      <c r="B21" s="827">
        <v>11</v>
      </c>
      <c r="C21" s="818">
        <f>IF('4-1.手当等支給メニュー'!$C25="","",'4-1.手当等支給メニュー'!$C25)</f>
        <v>1000</v>
      </c>
      <c r="D21" s="857">
        <f>IF('4-1.手当等支給メニュー'!$E25="","",IF($C21="","",'4-1.手当等支給メニュー'!$E25))</f>
        <v>0</v>
      </c>
      <c r="E21" s="861">
        <f>IF('4-1.手当等支給メニュー'!$G25="","",IF($C21="","",'4-1.手当等支給メニュー'!$G25))</f>
        <v>20100</v>
      </c>
      <c r="F21" s="820">
        <f>IF('4-1.手当等支給メニュー'!$I25="","",IF($C21="","",'4-1.手当等支給メニュー'!$I25))</f>
        <v>26</v>
      </c>
      <c r="G21" s="821">
        <f>IF('4-1.手当等支給メニュー'!$K25="","",IF($C21="","",'4-1.手当等支給メニュー'!$K25))</f>
        <v>112976.19047619047</v>
      </c>
      <c r="H21" s="822">
        <f>IF('4-1.手当等支給メニュー'!$L25="","",IF($C21="","",'4-1.手当等支給メニュー'!$L25))</f>
        <v>133076.19047619047</v>
      </c>
      <c r="I21" s="812">
        <f>IF('4-1.手当等支給メニュー'!$M25="","",IF($H21="","",'4-1.手当等支給メニュー'!$M25))</f>
        <v>135076.19047619047</v>
      </c>
      <c r="J21" s="854">
        <f>IF('4-1.手当等支給メニュー'!$N25="","",IF($H21="","",'4-1.手当等支給メニュー'!$N25))</f>
        <v>1620914.2857142857</v>
      </c>
      <c r="K21" s="854">
        <f>IF($C21="","",IF('4-1.手当等支給メニュー'!$R25="","",'4-1.手当等支給メニュー'!$R25))</f>
        <v>134000</v>
      </c>
      <c r="L21" s="823">
        <f>IF('4-1.手当等支給メニュー'!$AG25="","",IF($C21="","",'4-1.手当等支給メニュー'!$AG25))</f>
        <v>239589.0857142857</v>
      </c>
      <c r="M21" s="824">
        <f>IF('4-1.手当等支給メニュー'!$AP25="","",IF($C21="","",'4-1.手当等支給メニュー'!$AP25))</f>
        <v>17900</v>
      </c>
      <c r="N21" s="825">
        <f>IF('4-1.手当等支給メニュー'!$AV25="","",IF($C21="","",'4-1.手当等支給メニュー'!$AV25))</f>
        <v>43100</v>
      </c>
      <c r="O21" s="812">
        <f>IF('4-1.手当等支給メニュー'!$AW25="","",IF($C21="","",'4-1.手当等支給メニュー'!$AW25))</f>
        <v>1320325.2</v>
      </c>
      <c r="P21" s="863">
        <f t="shared" si="0"/>
        <v>43929.999999999767</v>
      </c>
      <c r="Q21" s="819"/>
      <c r="S21" s="832"/>
      <c r="T21" s="794"/>
      <c r="U21" s="794"/>
    </row>
    <row r="22" spans="2:22" ht="24" customHeight="1" x14ac:dyDescent="0.15">
      <c r="B22" s="817">
        <v>12</v>
      </c>
      <c r="C22" s="818">
        <f>IF('4-1.手当等支給メニュー'!$C26="","",'4-1.手当等支給メニュー'!$C26)</f>
        <v>1000</v>
      </c>
      <c r="D22" s="857">
        <f>IF('4-1.手当等支給メニュー'!$E26="","",IF($C22="","",'4-1.手当等支給メニュー'!$E26))</f>
        <v>0</v>
      </c>
      <c r="E22" s="861">
        <f>IF('4-1.手当等支給メニュー'!$G26="","",IF($C22="","",'4-1.手当等支給メニュー'!$G26))</f>
        <v>21300</v>
      </c>
      <c r="F22" s="820">
        <f>IF('4-1.手当等支給メニュー'!$I26="","",IF($C22="","",'4-1.手当等支給メニュー'!$I26))</f>
        <v>27</v>
      </c>
      <c r="G22" s="821">
        <f>IF('4-1.手当等支給メニュー'!$K26="","",IF($C22="","",'4-1.手当等支給メニュー'!$K26))</f>
        <v>117321.42857142858</v>
      </c>
      <c r="H22" s="822">
        <f>IF('4-1.手当等支給メニュー'!$L26="","",IF($C22="","",'4-1.手当等支給メニュー'!$L26))</f>
        <v>138621.42857142858</v>
      </c>
      <c r="I22" s="812">
        <f>IF('4-1.手当等支給メニュー'!$M26="","",IF($H22="","",'4-1.手当等支給メニュー'!$M26))</f>
        <v>140621.42857142858</v>
      </c>
      <c r="J22" s="854">
        <f>IF('4-1.手当等支給メニュー'!$N26="","",IF($H22="","",'4-1.手当等支給メニュー'!$N26))</f>
        <v>1687457.142857143</v>
      </c>
      <c r="K22" s="854">
        <f>IF($C22="","",IF('4-1.手当等支給メニュー'!$R26="","",'4-1.手当等支給メニュー'!$R26))</f>
        <v>142000</v>
      </c>
      <c r="L22" s="823">
        <f>IF('4-1.手当等支給メニュー'!$AG26="","",IF($C22="","",'4-1.手当等支給メニュー'!$AG26))</f>
        <v>253711.54285714286</v>
      </c>
      <c r="M22" s="824">
        <f>IF('4-1.手当等支給メニュー'!$AP26="","",IF($C22="","",'4-1.手当等支給メニュー'!$AP26))</f>
        <v>19200</v>
      </c>
      <c r="N22" s="825">
        <f>IF('4-1.手当等支給メニュー'!$AV26="","",IF($C22="","",'4-1.手当等支給メニュー'!$AV26))</f>
        <v>45800</v>
      </c>
      <c r="O22" s="812">
        <f>IF('4-1.手当等支給メニュー'!$AW26="","",IF($C22="","",'4-1.手当等支給メニュー'!$AW26))</f>
        <v>1368745.6</v>
      </c>
      <c r="P22" s="863">
        <f t="shared" si="0"/>
        <v>48420.40000000014</v>
      </c>
      <c r="Q22" s="819"/>
      <c r="T22" s="794"/>
      <c r="U22" s="794"/>
    </row>
    <row r="23" spans="2:22" ht="24" customHeight="1" x14ac:dyDescent="0.15">
      <c r="B23" s="827">
        <v>13</v>
      </c>
      <c r="C23" s="818">
        <f>IF('4-1.手当等支給メニュー'!$C27="","",'4-1.手当等支給メニュー'!$C27)</f>
        <v>1000</v>
      </c>
      <c r="D23" s="857">
        <f>IF('4-1.手当等支給メニュー'!$E27="","",IF($C23="","",'4-1.手当等支給メニュー'!$E27))</f>
        <v>0</v>
      </c>
      <c r="E23" s="861">
        <f>IF('4-1.手当等支給メニュー'!$G27="","",IF($C23="","",'4-1.手当等支給メニュー'!$G27))</f>
        <v>22500</v>
      </c>
      <c r="F23" s="820">
        <f>IF('4-1.手当等支給メニュー'!$I27="","",IF($C23="","",'4-1.手当等支給メニュー'!$I27))</f>
        <v>28</v>
      </c>
      <c r="G23" s="821">
        <f>IF('4-1.手当等支給メニュー'!$K27="","",IF($C23="","",'4-1.手当等支給メニュー'!$K27))</f>
        <v>121666.66666666667</v>
      </c>
      <c r="H23" s="822">
        <f>IF('4-1.手当等支給メニュー'!$L27="","",IF($C23="","",'4-1.手当等支給メニュー'!$L27))</f>
        <v>144166.66666666669</v>
      </c>
      <c r="I23" s="812">
        <f>IF('4-1.手当等支給メニュー'!$M27="","",IF($H23="","",'4-1.手当等支給メニュー'!$M27))</f>
        <v>146166.66666666669</v>
      </c>
      <c r="J23" s="854">
        <f>IF('4-1.手当等支給メニュー'!$N27="","",IF($H23="","",'4-1.手当等支給メニュー'!$N27))</f>
        <v>1754000.0000000002</v>
      </c>
      <c r="K23" s="854">
        <f>IF($C23="","",IF('4-1.手当等支給メニュー'!$R27="","",'4-1.手当等支給メニュー'!$R27))</f>
        <v>150000</v>
      </c>
      <c r="L23" s="823">
        <f>IF('4-1.手当等支給メニュー'!$AG27="","",IF($C23="","",'4-1.手当等支給メニュー'!$AG27))</f>
        <v>267834</v>
      </c>
      <c r="M23" s="824">
        <f>IF('4-1.手当等支給メニュー'!$AP27="","",IF($C23="","",'4-1.手当等支給メニュー'!$AP27))</f>
        <v>20600</v>
      </c>
      <c r="N23" s="825">
        <f>IF('4-1.手当等支給メニュー'!$AV27="","",IF($C23="","",'4-1.手当等支給メニュー'!$AV27))</f>
        <v>48400</v>
      </c>
      <c r="O23" s="812">
        <f>IF('4-1.手当等支給メニュー'!$AW27="","",IF($C23="","",'4-1.手当等支給メニュー'!$AW27))</f>
        <v>1417166.0000000002</v>
      </c>
      <c r="P23" s="863">
        <f t="shared" si="0"/>
        <v>48420.40000000014</v>
      </c>
      <c r="Q23" s="819"/>
      <c r="S23" s="794"/>
      <c r="T23" s="794"/>
      <c r="U23" s="794"/>
    </row>
    <row r="24" spans="2:22" ht="24" customHeight="1" x14ac:dyDescent="0.15">
      <c r="B24" s="827">
        <v>14</v>
      </c>
      <c r="C24" s="818">
        <f>IF('4-1.手当等支給メニュー'!$C28="","",'4-1.手当等支給メニュー'!$C28)</f>
        <v>1000</v>
      </c>
      <c r="D24" s="857">
        <f>IF('4-1.手当等支給メニュー'!$E28="","",IF($C24="","",'4-1.手当等支給メニュー'!$E28))</f>
        <v>0</v>
      </c>
      <c r="E24" s="861">
        <f>IF('4-1.手当等支給メニュー'!$G28="","",IF($C24="","",'4-1.手当等支給メニュー'!$G28))</f>
        <v>22500</v>
      </c>
      <c r="F24" s="820">
        <f>IF('4-1.手当等支給メニュー'!$I28="","",IF($C24="","",'4-1.手当等支給メニュー'!$I28))</f>
        <v>29</v>
      </c>
      <c r="G24" s="821">
        <f>IF('4-1.手当等支給メニュー'!$K28="","",IF($C24="","",'4-1.手当等支給メニュー'!$K28))</f>
        <v>126011.90476190475</v>
      </c>
      <c r="H24" s="822">
        <f>IF('4-1.手当等支給メニュー'!$L28="","",IF($C24="","",'4-1.手当等支給メニュー'!$L28))</f>
        <v>148511.90476190473</v>
      </c>
      <c r="I24" s="812">
        <f>IF('4-1.手当等支給メニュー'!$M28="","",IF($H24="","",'4-1.手当等支給メニュー'!$M28))</f>
        <v>150511.90476190473</v>
      </c>
      <c r="J24" s="854">
        <f>IF('4-1.手当等支給メニュー'!$N28="","",IF($H24="","",'4-1.手当等支給メニュー'!$N28))</f>
        <v>1806142.8571428568</v>
      </c>
      <c r="K24" s="854">
        <f>IF($C24="","",IF('4-1.手当等支給メニュー'!$R28="","",'4-1.手当等支給メニュー'!$R28))</f>
        <v>150000</v>
      </c>
      <c r="L24" s="823">
        <f>IF('4-1.手当等支給メニュー'!$AG28="","",IF($C24="","",'4-1.手当等支給メニュー'!$AG28))</f>
        <v>268146.85714285716</v>
      </c>
      <c r="M24" s="824">
        <f>IF('4-1.手当等支給メニュー'!$AP28="","",IF($C24="","",'4-1.手当等支給メニュー'!$AP28))</f>
        <v>22200</v>
      </c>
      <c r="N24" s="825">
        <f>IF('4-1.手当等支給メニュー'!$AV28="","",IF($C24="","",'4-1.手当等支給メニュー'!$AV28))</f>
        <v>51600</v>
      </c>
      <c r="O24" s="812">
        <f>IF('4-1.手当等支給メニュー'!$AW28="","",IF($C24="","",'4-1.手当等支給メニュー'!$AW28))</f>
        <v>1464195.9999999995</v>
      </c>
      <c r="P24" s="863">
        <f t="shared" si="0"/>
        <v>47029.999999999302</v>
      </c>
      <c r="Q24" s="819"/>
      <c r="S24" s="794"/>
    </row>
    <row r="25" spans="2:22" ht="24" customHeight="1" x14ac:dyDescent="0.15">
      <c r="B25" s="827">
        <v>15</v>
      </c>
      <c r="C25" s="818">
        <f>IF('4-1.手当等支給メニュー'!$C29="","",'4-1.手当等支給メニュー'!$C29)</f>
        <v>1000</v>
      </c>
      <c r="D25" s="857">
        <f>IF('4-1.手当等支給メニュー'!$E29="","",IF($C25="","",'4-1.手当等支給メニュー'!$E29))</f>
        <v>0</v>
      </c>
      <c r="E25" s="861">
        <f>IF('4-1.手当等支給メニュー'!$G29="","",IF($C25="","",'4-1.手当等支給メニュー'!$G29))</f>
        <v>24000</v>
      </c>
      <c r="F25" s="820">
        <f>IF('4-1.手当等支給メニュー'!$I29="","",IF($C25="","",'4-1.手当等支給メニュー'!$I29))</f>
        <v>30</v>
      </c>
      <c r="G25" s="821">
        <f>IF('4-1.手当等支給メニュー'!$K29="","",IF($C25="","",'4-1.手当等支給メニュー'!$K29))</f>
        <v>130357.14285714286</v>
      </c>
      <c r="H25" s="822">
        <f>IF('4-1.手当等支給メニュー'!$L29="","",IF($C25="","",'4-1.手当等支給メニュー'!$L29))</f>
        <v>154357.14285714284</v>
      </c>
      <c r="I25" s="812">
        <f>IF('4-1.手当等支給メニュー'!$M29="","",IF($H25="","",'4-1.手当等支給メニュー'!$M29))</f>
        <v>156357.14285714284</v>
      </c>
      <c r="J25" s="854">
        <f>IF('4-1.手当等支給メニュー'!$N29="","",IF($H25="","",'4-1.手当等支給メニュー'!$N29))</f>
        <v>1876285.7142857141</v>
      </c>
      <c r="K25" s="854">
        <f>IF($C25="","",IF('4-1.手当等支給メニュー'!$R29="","",'4-1.手当等支給メニュー'!$R29))</f>
        <v>160000</v>
      </c>
      <c r="L25" s="823">
        <f>IF('4-1.手当等支給メニュー'!$AG29="","",IF($C25="","",'4-1.手当等支給メニュー'!$AG29))</f>
        <v>285721.71428571426</v>
      </c>
      <c r="M25" s="824">
        <f>IF('4-1.手当等支給メニュー'!$AP29="","",IF($C25="","",'4-1.手当等支給メニュー'!$AP29))</f>
        <v>23800</v>
      </c>
      <c r="N25" s="825">
        <f>IF('4-1.手当等支給メニュー'!$AV29="","",IF($C25="","",'4-1.手当等支給メニュー'!$AV29))</f>
        <v>54700</v>
      </c>
      <c r="O25" s="812">
        <f>IF('4-1.手当等支給メニュー'!$AW29="","",IF($C25="","",'4-1.手当等支給メニュー'!$AW29))</f>
        <v>1512063.9999999998</v>
      </c>
      <c r="P25" s="863">
        <f t="shared" si="0"/>
        <v>47868.000000000233</v>
      </c>
      <c r="Q25" s="819"/>
      <c r="S25" s="794"/>
    </row>
    <row r="26" spans="2:22" ht="24" customHeight="1" x14ac:dyDescent="0.15">
      <c r="B26" s="817">
        <v>16</v>
      </c>
      <c r="C26" s="818">
        <f>IF('4-1.手当等支給メニュー'!$C30="","",'4-1.手当等支給メニュー'!$C30)</f>
        <v>1000</v>
      </c>
      <c r="D26" s="857">
        <f>IF('4-1.手当等支給メニュー'!$E30="","",IF($C26="","",'4-1.手当等支給メニュー'!$E30))</f>
        <v>0</v>
      </c>
      <c r="E26" s="861">
        <f>IF('4-1.手当等支給メニュー'!$G30="","",IF($C26="","",'4-1.手当等支給メニュー'!$G30))</f>
        <v>24000</v>
      </c>
      <c r="F26" s="820">
        <f>IF('4-1.手当等支給メニュー'!$I30="","",IF($C26="","",'4-1.手当等支給メニュー'!$I30))</f>
        <v>31</v>
      </c>
      <c r="G26" s="821">
        <f>IF('4-1.手当等支給メニュー'!$K30="","",IF($C26="","",'4-1.手当等支給メニュー'!$K30))</f>
        <v>134702.38095238095</v>
      </c>
      <c r="H26" s="822">
        <f>IF('4-1.手当等支給メニュー'!$L30="","",IF($C26="","",'4-1.手当等支給メニュー'!$L30))</f>
        <v>158702.38095238095</v>
      </c>
      <c r="I26" s="812">
        <f>IF('4-1.手当等支給メニュー'!$M30="","",IF($H26="","",'4-1.手当等支給メニュー'!$M30))</f>
        <v>160702.38095238095</v>
      </c>
      <c r="J26" s="854">
        <f>IF('4-1.手当等支給メニュー'!$N30="","",IF($H26="","",'4-1.手当等支給メニュー'!$N30))</f>
        <v>1928428.5714285714</v>
      </c>
      <c r="K26" s="854">
        <f>IF($C26="","",IF('4-1.手当等支給メニュー'!$R30="","",'4-1.手当等支給メニュー'!$R30))</f>
        <v>160000</v>
      </c>
      <c r="L26" s="823">
        <f>IF('4-1.手当等支給メニュー'!$AG30="","",IF($C26="","",'4-1.手当等支給メニュー'!$AG30))</f>
        <v>286034.57142857142</v>
      </c>
      <c r="M26" s="824">
        <f>IF('4-1.手当等支給メニュー'!$AP30="","",IF($C26="","",'4-1.手当等支給メニュー'!$AP30))</f>
        <v>25600</v>
      </c>
      <c r="N26" s="825">
        <f>IF('4-1.手当等支給メニュー'!$AV30="","",IF($C26="","",'4-1.手当等支給メニュー'!$AV30))</f>
        <v>58300</v>
      </c>
      <c r="O26" s="812">
        <f>IF('4-1.手当等支給メニュー'!$AW30="","",IF($C26="","",'4-1.手当等支給メニュー'!$AW30))</f>
        <v>1558494</v>
      </c>
      <c r="P26" s="863">
        <f t="shared" si="0"/>
        <v>46430.000000000233</v>
      </c>
      <c r="Q26" s="819"/>
      <c r="S26" s="794"/>
    </row>
    <row r="27" spans="2:22" ht="24" customHeight="1" x14ac:dyDescent="0.15">
      <c r="B27" s="827">
        <v>17</v>
      </c>
      <c r="C27" s="818">
        <f>IF('4-1.手当等支給メニュー'!$C31="","",'4-1.手当等支給メニュー'!$C31)</f>
        <v>1000</v>
      </c>
      <c r="D27" s="857">
        <f>IF('4-1.手当等支給メニュー'!$E31="","",IF($C27="","",'4-1.手当等支給メニュー'!$E31))</f>
        <v>0</v>
      </c>
      <c r="E27" s="861">
        <f>IF('4-1.手当等支給メニュー'!$G31="","",IF($C27="","",'4-1.手当等支給メニュー'!$G31))</f>
        <v>25500</v>
      </c>
      <c r="F27" s="820">
        <f>IF('4-1.手当等支給メニュー'!$I31="","",IF($C27="","",'4-1.手当等支給メニュー'!$I31))</f>
        <v>32</v>
      </c>
      <c r="G27" s="821">
        <f>IF('4-1.手当等支給メニュー'!$K31="","",IF($C27="","",'4-1.手当等支給メニュー'!$K31))</f>
        <v>139047.61904761905</v>
      </c>
      <c r="H27" s="822">
        <f>IF('4-1.手当等支給メニュー'!$L31="","",IF($C27="","",'4-1.手当等支給メニュー'!$L31))</f>
        <v>164547.61904761905</v>
      </c>
      <c r="I27" s="812">
        <f>IF('4-1.手当等支給メニュー'!$M31="","",IF($H27="","",'4-1.手当等支給メニュー'!$M31))</f>
        <v>166547.61904761905</v>
      </c>
      <c r="J27" s="854">
        <f>IF('4-1.手当等支給メニュー'!$N31="","",IF($H27="","",'4-1.手当等支給メニュー'!$N31))</f>
        <v>1998571.4285714286</v>
      </c>
      <c r="K27" s="854">
        <f>IF($C27="","",IF('4-1.手当等支給メニュー'!$R31="","",'4-1.手当等支給メニュー'!$R31))</f>
        <v>170000</v>
      </c>
      <c r="L27" s="823">
        <f>IF('4-1.手当等支給メニュー'!$AG31="","",IF($C27="","",'4-1.手当等支給メニュー'!$AG31))</f>
        <v>303609.42857142858</v>
      </c>
      <c r="M27" s="824">
        <f>IF('4-1.手当等支給メニュー'!$AP31="","",IF($C27="","",'4-1.手当等支給メニュー'!$AP31))</f>
        <v>27300</v>
      </c>
      <c r="N27" s="825">
        <f>IF('4-1.手当等支給メニュー'!$AV31="","",IF($C27="","",'4-1.手当等支給メニュー'!$AV31))</f>
        <v>61500</v>
      </c>
      <c r="O27" s="812">
        <f>IF('4-1.手当等支給メニュー'!$AW31="","",IF($C27="","",'4-1.手当等支給メニュー'!$AW31))</f>
        <v>1606162</v>
      </c>
      <c r="P27" s="863">
        <f t="shared" si="0"/>
        <v>47668</v>
      </c>
      <c r="Q27" s="819"/>
      <c r="S27" s="794"/>
    </row>
    <row r="28" spans="2:22" ht="24" customHeight="1" x14ac:dyDescent="0.15">
      <c r="B28" s="827">
        <v>18</v>
      </c>
      <c r="C28" s="818">
        <f>IF('4-1.手当等支給メニュー'!$C32="","",'4-1.手当等支給メニュー'!$C32)</f>
        <v>1000</v>
      </c>
      <c r="D28" s="857">
        <f>IF('4-1.手当等支給メニュー'!$E32="","",IF($C28="","",'4-1.手当等支給メニュー'!$E32))</f>
        <v>0</v>
      </c>
      <c r="E28" s="861">
        <f>IF('4-1.手当等支給メニュー'!$G32="","",IF($C28="","",'4-1.手当等支給メニュー'!$G32))</f>
        <v>25500</v>
      </c>
      <c r="F28" s="820">
        <f>IF('4-1.手当等支給メニュー'!$I32="","",IF($C28="","",'4-1.手当等支給メニュー'!$I32))</f>
        <v>33</v>
      </c>
      <c r="G28" s="821">
        <f>IF('4-1.手当等支給メニュー'!$K32="","",IF($C28="","",'4-1.手当等支給メニュー'!$K32))</f>
        <v>143392.85714285713</v>
      </c>
      <c r="H28" s="822">
        <f>IF('4-1.手当等支給メニュー'!$L32="","",IF($C28="","",'4-1.手当等支給メニュー'!$L32))</f>
        <v>168892.85714285713</v>
      </c>
      <c r="I28" s="812">
        <f>IF('4-1.手当等支給メニュー'!$M32="","",IF($H28="","",'4-1.手当等支給メニュー'!$M32))</f>
        <v>170892.85714285713</v>
      </c>
      <c r="J28" s="854">
        <f>IF('4-1.手当等支給メニュー'!$N32="","",IF($H28="","",'4-1.手当等支給メニュー'!$N32))</f>
        <v>2050714.2857142854</v>
      </c>
      <c r="K28" s="854">
        <f>IF($C28="","",IF('4-1.手当等支給メニュー'!$R32="","",'4-1.手当等支給メニュー'!$R32))</f>
        <v>170000</v>
      </c>
      <c r="L28" s="823">
        <f>IF('4-1.手当等支給メニュー'!$AG32="","",IF($C28="","",'4-1.手当等支給メニュー'!$AG32))</f>
        <v>303922.28571428574</v>
      </c>
      <c r="M28" s="824">
        <f>IF('4-1.手当等支給メニュー'!$AP32="","",IF($C28="","",'4-1.手当等支給メニュー'!$AP32))</f>
        <v>29100</v>
      </c>
      <c r="N28" s="825">
        <f>IF('4-1.手当等支給メニュー'!$AV32="","",IF($C28="","",'4-1.手当等支給メニュー'!$AV32))</f>
        <v>65100</v>
      </c>
      <c r="O28" s="812">
        <f>IF('4-1.手当等支給メニュー'!$AW32="","",IF($C28="","",'4-1.手当等支給メニュー'!$AW32))</f>
        <v>1652591.9999999998</v>
      </c>
      <c r="P28" s="863">
        <f t="shared" si="0"/>
        <v>46429.999999999767</v>
      </c>
      <c r="Q28" s="819"/>
      <c r="S28" s="871" t="s">
        <v>386</v>
      </c>
    </row>
    <row r="29" spans="2:22" ht="24" customHeight="1" x14ac:dyDescent="0.15">
      <c r="B29" s="827">
        <v>19</v>
      </c>
      <c r="C29" s="818">
        <f>IF('4-1.手当等支給メニュー'!$C33="","",'4-1.手当等支給メニュー'!$C33)</f>
        <v>1000</v>
      </c>
      <c r="D29" s="857">
        <f>IF('4-1.手当等支給メニュー'!$E33="","",IF($C29="","",'4-1.手当等支給メニュー'!$E33))</f>
        <v>0</v>
      </c>
      <c r="E29" s="861">
        <f>IF('4-1.手当等支給メニュー'!$G33="","",IF($C29="","",'4-1.手当等支給メニュー'!$G33))</f>
        <v>27000</v>
      </c>
      <c r="F29" s="820">
        <f>IF('4-1.手当等支給メニュー'!$I33="","",IF($C29="","",'4-1.手当等支給メニュー'!$I33))</f>
        <v>34</v>
      </c>
      <c r="G29" s="821">
        <f>IF('4-1.手当等支給メニュー'!$K33="","",IF($C29="","",'4-1.手当等支給メニュー'!$K33))</f>
        <v>147738.09523809524</v>
      </c>
      <c r="H29" s="822">
        <f>IF('4-1.手当等支給メニュー'!$L33="","",IF($C29="","",'4-1.手当等支給メニュー'!$L33))</f>
        <v>174738.09523809524</v>
      </c>
      <c r="I29" s="812">
        <f>IF('4-1.手当等支給メニュー'!$M33="","",IF($H29="","",'4-1.手当等支給メニュー'!$M33))</f>
        <v>176738.09523809524</v>
      </c>
      <c r="J29" s="854">
        <f>IF('4-1.手当等支給メニュー'!$N33="","",IF($H29="","",'4-1.手当等支給メニュー'!$N33))</f>
        <v>2120857.1428571427</v>
      </c>
      <c r="K29" s="854">
        <f>IF($C29="","",IF('4-1.手当等支給メニュー'!$R33="","",'4-1.手当等支給メニュー'!$R33))</f>
        <v>180000</v>
      </c>
      <c r="L29" s="823">
        <f>IF('4-1.手当等支給メニュー'!$AG33="","",IF($C29="","",'4-1.手当等支給メニュー'!$AG33))</f>
        <v>321497.14285714284</v>
      </c>
      <c r="M29" s="824">
        <f>IF('4-1.手当等支給メニュー'!$AP33="","",IF($C29="","",'4-1.手当等支給メニュー'!$AP33))</f>
        <v>30700</v>
      </c>
      <c r="N29" s="825">
        <f>IF('4-1.手当等支給メニュー'!$AV33="","",IF($C29="","",'4-1.手当等支給メニュー'!$AV33))</f>
        <v>68300</v>
      </c>
      <c r="O29" s="812">
        <f>IF('4-1.手当等支給メニュー'!$AW33="","",IF($C29="","",'4-1.手当等支給メニュー'!$AW33))</f>
        <v>1700360</v>
      </c>
      <c r="P29" s="863">
        <f t="shared" si="0"/>
        <v>47768.000000000233</v>
      </c>
      <c r="Q29" s="819"/>
      <c r="S29" s="794"/>
    </row>
    <row r="30" spans="2:22" ht="24" customHeight="1" x14ac:dyDescent="0.15">
      <c r="B30" s="817">
        <v>20</v>
      </c>
      <c r="C30" s="818">
        <f>IF('4-1.手当等支給メニュー'!$C34="","",'4-1.手当等支給メニュー'!$C34)</f>
        <v>1000</v>
      </c>
      <c r="D30" s="857">
        <f>IF('4-1.手当等支給メニュー'!$E34="","",IF($C30="","",'4-1.手当等支給メニュー'!$E34))</f>
        <v>0</v>
      </c>
      <c r="E30" s="861">
        <f>IF('4-1.手当等支給メニュー'!$G34="","",IF($C30="","",'4-1.手当等支給メニュー'!$G34))</f>
        <v>27000</v>
      </c>
      <c r="F30" s="820">
        <f>IF('4-1.手当等支給メニュー'!$I34="","",IF($C30="","",'4-1.手当等支給メニュー'!$I34))</f>
        <v>35</v>
      </c>
      <c r="G30" s="821">
        <f>IF('4-1.手当等支給メニュー'!$K34="","",IF($C30="","",'4-1.手当等支給メニュー'!$K34))</f>
        <v>152083.33333333334</v>
      </c>
      <c r="H30" s="822">
        <f>IF('4-1.手当等支給メニュー'!$L34="","",IF($C30="","",'4-1.手当等支給メニュー'!$L34))</f>
        <v>179083.33333333334</v>
      </c>
      <c r="I30" s="812">
        <f>IF('4-1.手当等支給メニュー'!$M34="","",IF($H30="","",'4-1.手当等支給メニュー'!$M34))</f>
        <v>181083.33333333334</v>
      </c>
      <c r="J30" s="854">
        <f>IF('4-1.手当等支給メニュー'!$N34="","",IF($H30="","",'4-1.手当等支給メニュー'!$N34))</f>
        <v>2173000</v>
      </c>
      <c r="K30" s="854">
        <f>IF($C30="","",IF('4-1.手当等支給メニュー'!$R34="","",'4-1.手当等支給メニュー'!$R34))</f>
        <v>180000</v>
      </c>
      <c r="L30" s="823">
        <f>IF('4-1.手当等支給メニュー'!$AG34="","",IF($C30="","",'4-1.手当等支給メニュー'!$AG34))</f>
        <v>321810</v>
      </c>
      <c r="M30" s="824">
        <f>IF('4-1.手当等支給メニュー'!$AP34="","",IF($C30="","",'4-1.手当等支給メニュー'!$AP34))</f>
        <v>32600</v>
      </c>
      <c r="N30" s="825">
        <f>IF('4-1.手当等支給メニュー'!$AV34="","",IF($C30="","",'4-1.手当等支給メニュー'!$AV34))</f>
        <v>71900</v>
      </c>
      <c r="O30" s="812">
        <f>IF('4-1.手当等支給メニュー'!$AW34="","",IF($C30="","",'4-1.手当等支給メニュー'!$AW34))</f>
        <v>1746690</v>
      </c>
      <c r="P30" s="863">
        <f t="shared" si="0"/>
        <v>46330</v>
      </c>
      <c r="Q30" s="819"/>
      <c r="S30" s="794"/>
    </row>
    <row r="31" spans="2:22" ht="24" customHeight="1" x14ac:dyDescent="0.15">
      <c r="B31" s="827">
        <v>21</v>
      </c>
      <c r="C31" s="818">
        <f>IF('4-1.手当等支給メニュー'!$C35="","",'4-1.手当等支給メニュー'!$C35)</f>
        <v>1000</v>
      </c>
      <c r="D31" s="857">
        <f>IF('4-1.手当等支給メニュー'!$E35="","",IF($C31="","",'4-1.手当等支給メニュー'!$E35))</f>
        <v>0</v>
      </c>
      <c r="E31" s="861">
        <f>IF('4-1.手当等支給メニュー'!$G35="","",IF($C31="","",'4-1.手当等支給メニュー'!$G35))</f>
        <v>28500</v>
      </c>
      <c r="F31" s="820">
        <f>IF('4-1.手当等支給メニュー'!$I35="","",IF($C31="","",'4-1.手当等支給メニュー'!$I35))</f>
        <v>36</v>
      </c>
      <c r="G31" s="821">
        <f>IF('4-1.手当等支給メニュー'!$K35="","",IF($C31="","",'4-1.手当等支給メニュー'!$K35))</f>
        <v>156428.57142857142</v>
      </c>
      <c r="H31" s="822">
        <f>IF('4-1.手当等支給メニュー'!$L35="","",IF($C31="","",'4-1.手当等支給メニュー'!$L35))</f>
        <v>184928.57142857142</v>
      </c>
      <c r="I31" s="812">
        <f>IF('4-1.手当等支給メニュー'!$M35="","",IF($H31="","",'4-1.手当等支給メニュー'!$M35))</f>
        <v>186928.57142857142</v>
      </c>
      <c r="J31" s="854">
        <f>IF('4-1.手当等支給メニュー'!$N35="","",IF($H31="","",'4-1.手当等支給メニュー'!$N35))</f>
        <v>2243142.8571428573</v>
      </c>
      <c r="K31" s="854">
        <f>IF($C31="","",IF('4-1.手当等支給メニュー'!$R35="","",'4-1.手当等支給メニュー'!$R35))</f>
        <v>190000</v>
      </c>
      <c r="L31" s="823">
        <f>IF('4-1.手当等支給メニュー'!$AG35="","",IF($C31="","",'4-1.手当等支給メニュー'!$AG35))</f>
        <v>339384.85714285716</v>
      </c>
      <c r="M31" s="824">
        <f>IF('4-1.手当等支給メニュー'!$AP35="","",IF($C31="","",'4-1.手当等支給メニュー'!$AP35))</f>
        <v>34200</v>
      </c>
      <c r="N31" s="825">
        <f>IF('4-1.手当等支給メニュー'!$AV35="","",IF($C31="","",'4-1.手当等支給メニュー'!$AV35))</f>
        <v>75000</v>
      </c>
      <c r="O31" s="812">
        <f>IF('4-1.手当等支給メニュー'!$AW35="","",IF($C31="","",'4-1.手当等支給メニュー'!$AW35))</f>
        <v>1794558</v>
      </c>
      <c r="P31" s="863">
        <f t="shared" si="0"/>
        <v>47868</v>
      </c>
      <c r="Q31" s="819"/>
      <c r="S31" s="794"/>
    </row>
    <row r="32" spans="2:22" ht="24" customHeight="1" x14ac:dyDescent="0.15">
      <c r="B32" s="827">
        <v>22</v>
      </c>
      <c r="C32" s="818">
        <f>IF('4-1.手当等支給メニュー'!$C36="","",'4-1.手当等支給メニュー'!$C36)</f>
        <v>1000</v>
      </c>
      <c r="D32" s="857">
        <f>IF('4-1.手当等支給メニュー'!$E36="","",IF($C32="","",'4-1.手当等支給メニュー'!$E36))</f>
        <v>0</v>
      </c>
      <c r="E32" s="861">
        <f>IF('4-1.手当等支給メニュー'!$G36="","",IF($C32="","",'4-1.手当等支給メニュー'!$G36))</f>
        <v>28500</v>
      </c>
      <c r="F32" s="820">
        <f>IF('4-1.手当等支給メニュー'!$I36="","",IF($C32="","",'4-1.手当等支給メニュー'!$I36))</f>
        <v>37</v>
      </c>
      <c r="G32" s="821">
        <f>IF('4-1.手当等支給メニュー'!$K36="","",IF($C32="","",'4-1.手当等支給メニュー'!$K36))</f>
        <v>160773.80952380953</v>
      </c>
      <c r="H32" s="822">
        <f>IF('4-1.手当等支給メニュー'!$L36="","",IF($C32="","",'4-1.手当等支給メニュー'!$L36))</f>
        <v>189273.80952380953</v>
      </c>
      <c r="I32" s="812">
        <f>IF('4-1.手当等支給メニュー'!$M36="","",IF($H32="","",'4-1.手当等支給メニュー'!$M36))</f>
        <v>191273.80952380953</v>
      </c>
      <c r="J32" s="854">
        <f>IF('4-1.手当等支給メニュー'!$N36="","",IF($H32="","",'4-1.手当等支給メニュー'!$N36))</f>
        <v>2295285.7142857146</v>
      </c>
      <c r="K32" s="854">
        <f>IF($C32="","",IF('4-1.手当等支給メニュー'!$R36="","",'4-1.手当等支給メニュー'!$R36))</f>
        <v>190000</v>
      </c>
      <c r="L32" s="823">
        <f>IF('4-1.手当等支給メニュー'!$AG36="","",IF($C32="","",'4-1.手当等支給メニュー'!$AG36))</f>
        <v>339697.71428571426</v>
      </c>
      <c r="M32" s="824">
        <f>IF('4-1.手当等支給メニュー'!$AP36="","",IF($C32="","",'4-1.手当等支給メニュー'!$AP36))</f>
        <v>36000</v>
      </c>
      <c r="N32" s="825">
        <f>IF('4-1.手当等支給メニュー'!$AV36="","",IF($C32="","",'4-1.手当等支給メニュー'!$AV36))</f>
        <v>78700</v>
      </c>
      <c r="O32" s="812">
        <f>IF('4-1.手当等支給メニュー'!$AW36="","",IF($C32="","",'4-1.手当等支給メニュー'!$AW36))</f>
        <v>1840888.0000000002</v>
      </c>
      <c r="P32" s="863">
        <f t="shared" si="0"/>
        <v>46330.000000000233</v>
      </c>
      <c r="Q32" s="819"/>
      <c r="S32" s="794"/>
    </row>
    <row r="33" spans="2:19" ht="24" customHeight="1" x14ac:dyDescent="0.15">
      <c r="B33" s="827">
        <v>23</v>
      </c>
      <c r="C33" s="818">
        <f>IF('4-1.手当等支給メニュー'!$C37="","",'4-1.手当等支給メニュー'!$C37)</f>
        <v>1000</v>
      </c>
      <c r="D33" s="857">
        <f>IF('4-1.手当等支給メニュー'!$E37="","",IF($C33="","",'4-1.手当等支給メニュー'!$E37))</f>
        <v>0</v>
      </c>
      <c r="E33" s="861">
        <f>IF('4-1.手当等支給メニュー'!$G37="","",IF($C33="","",'4-1.手当等支給メニュー'!$G37))</f>
        <v>30000</v>
      </c>
      <c r="F33" s="820">
        <f>IF('4-1.手当等支給メニュー'!$I37="","",IF($C33="","",'4-1.手当等支給メニュー'!$I37))</f>
        <v>38</v>
      </c>
      <c r="G33" s="821">
        <f>IF('4-1.手当等支給メニュー'!$K37="","",IF($C33="","",'4-1.手当等支給メニュー'!$K37))</f>
        <v>165119.0476190476</v>
      </c>
      <c r="H33" s="822">
        <f>IF('4-1.手当等支給メニュー'!$L37="","",IF($C33="","",'4-1.手当等支給メニュー'!$L37))</f>
        <v>195119.0476190476</v>
      </c>
      <c r="I33" s="812">
        <f>IF('4-1.手当等支給メニュー'!$M37="","",IF($H33="","",'4-1.手当等支給メニュー'!$M37))</f>
        <v>197119.0476190476</v>
      </c>
      <c r="J33" s="854">
        <f>IF('4-1.手当等支給メニュー'!$N37="","",IF($H33="","",'4-1.手当等支給メニュー'!$N37))</f>
        <v>2365428.5714285714</v>
      </c>
      <c r="K33" s="854">
        <f>IF($C33="","",IF('4-1.手当等支給メニュー'!$R37="","",'4-1.手当等支給メニュー'!$R37))</f>
        <v>200000</v>
      </c>
      <c r="L33" s="823">
        <f>IF('4-1.手当等支給メニュー'!$AG37="","",IF($C33="","",'4-1.手当等支給メニュー'!$AG37))</f>
        <v>357272.57142857142</v>
      </c>
      <c r="M33" s="824">
        <f>IF('4-1.手当等支給メニュー'!$AP37="","",IF($C33="","",'4-1.手当等支給メニュー'!$AP37))</f>
        <v>37600</v>
      </c>
      <c r="N33" s="825">
        <f>IF('4-1.手当等支給メニュー'!$AV37="","",IF($C33="","",'4-1.手当等支給メニュー'!$AV37))</f>
        <v>81800</v>
      </c>
      <c r="O33" s="812">
        <f>IF('4-1.手当等支給メニュー'!$AW37="","",IF($C33="","",'4-1.手当等支給メニュー'!$AW37))</f>
        <v>1888756</v>
      </c>
      <c r="P33" s="863">
        <f t="shared" si="0"/>
        <v>47867.999999999767</v>
      </c>
      <c r="Q33" s="819"/>
      <c r="S33" s="794"/>
    </row>
    <row r="34" spans="2:19" ht="24" customHeight="1" x14ac:dyDescent="0.15">
      <c r="B34" s="817">
        <v>24</v>
      </c>
      <c r="C34" s="818">
        <f>IF('4-1.手当等支給メニュー'!$C38="","",'4-1.手当等支給メニュー'!$C38)</f>
        <v>1000</v>
      </c>
      <c r="D34" s="857">
        <f>IF('4-1.手当等支給メニュー'!$E38="","",IF($C34="","",'4-1.手当等支給メニュー'!$E38))</f>
        <v>0</v>
      </c>
      <c r="E34" s="861">
        <f>IF('4-1.手当等支給メニュー'!$G38="","",IF($C34="","",'4-1.手当等支給メニュー'!$G38))</f>
        <v>30000</v>
      </c>
      <c r="F34" s="820">
        <f>IF('4-1.手当等支給メニュー'!$I38="","",IF($C34="","",'4-1.手当等支給メニュー'!$I38))</f>
        <v>39</v>
      </c>
      <c r="G34" s="821">
        <f>IF('4-1.手当等支給メニュー'!$K38="","",IF($C34="","",'4-1.手当等支給メニュー'!$K38))</f>
        <v>169464.28571428571</v>
      </c>
      <c r="H34" s="822">
        <f>IF('4-1.手当等支給メニュー'!$L38="","",IF($C34="","",'4-1.手当等支給メニュー'!$L38))</f>
        <v>199464.28571428571</v>
      </c>
      <c r="I34" s="812">
        <f>IF('4-1.手当等支給メニュー'!$M38="","",IF($H34="","",'4-1.手当等支給メニュー'!$M38))</f>
        <v>201464.28571428571</v>
      </c>
      <c r="J34" s="854">
        <f>IF('4-1.手当等支給メニュー'!$N38="","",IF($H34="","",'4-1.手当等支給メニュー'!$N38))</f>
        <v>2417571.4285714286</v>
      </c>
      <c r="K34" s="854">
        <f>IF($C34="","",IF('4-1.手当等支給メニュー'!$R38="","",'4-1.手当等支給メニュー'!$R38))</f>
        <v>200000</v>
      </c>
      <c r="L34" s="823">
        <f>IF('4-1.手当等支給メニュー'!$AG38="","",IF($C34="","",'4-1.手当等支給メニュー'!$AG38))</f>
        <v>357585.42857142858</v>
      </c>
      <c r="M34" s="824">
        <f>IF('4-1.手当等支給メニュー'!$AP38="","",IF($C34="","",'4-1.手当等支給メニュー'!$AP38))</f>
        <v>39500</v>
      </c>
      <c r="N34" s="825">
        <f>IF('4-1.手当等支給メニュー'!$AV38="","",IF($C34="","",'4-1.手当等支給メニュー'!$AV38))</f>
        <v>85400</v>
      </c>
      <c r="O34" s="812">
        <f>IF('4-1.手当等支給メニュー'!$AW38="","",IF($C34="","",'4-1.手当等支給メニュー'!$AW38))</f>
        <v>1935086</v>
      </c>
      <c r="P34" s="863">
        <f t="shared" si="0"/>
        <v>46330</v>
      </c>
      <c r="Q34" s="819"/>
      <c r="S34" s="794"/>
    </row>
    <row r="35" spans="2:19" ht="24" customHeight="1" x14ac:dyDescent="0.15">
      <c r="B35" s="827">
        <v>25</v>
      </c>
      <c r="C35" s="818" t="str">
        <f>IF('4-1.手当等支給メニュー'!$C39="","",'4-1.手当等支給メニュー'!$C39)</f>
        <v/>
      </c>
      <c r="D35" s="857" t="str">
        <f>IF('4-1.手当等支給メニュー'!$E39="","",IF($C35="","",'4-1.手当等支給メニュー'!$E39))</f>
        <v/>
      </c>
      <c r="E35" s="861" t="str">
        <f>IF('4-1.手当等支給メニュー'!$G39="","",IF($C35="","",'4-1.手当等支給メニュー'!$G39))</f>
        <v/>
      </c>
      <c r="F35" s="820" t="str">
        <f>IF('4-1.手当等支給メニュー'!$I39="","",IF($C35="","",'4-1.手当等支給メニュー'!$I39))</f>
        <v/>
      </c>
      <c r="G35" s="821" t="str">
        <f>IF('4-1.手当等支給メニュー'!$K39="","",IF($C35="","",'4-1.手当等支給メニュー'!$K39))</f>
        <v/>
      </c>
      <c r="H35" s="822" t="str">
        <f>IF('4-1.手当等支給メニュー'!$L39="","",IF($C35="","",'4-1.手当等支給メニュー'!$L39))</f>
        <v/>
      </c>
      <c r="I35" s="812" t="str">
        <f>IF('4-1.手当等支給メニュー'!$M39="","",IF($H35="","",'4-1.手当等支給メニュー'!$M39))</f>
        <v/>
      </c>
      <c r="J35" s="854" t="str">
        <f>IF('4-1.手当等支給メニュー'!$N39="","",IF($H35="","",'4-1.手当等支給メニュー'!$N39))</f>
        <v/>
      </c>
      <c r="K35" s="854" t="str">
        <f>IF($C35="","",IF('4-1.手当等支給メニュー'!$R39="","",'4-1.手当等支給メニュー'!$R39))</f>
        <v/>
      </c>
      <c r="L35" s="823" t="str">
        <f>IF('4-1.手当等支給メニュー'!$AG39="","",IF($C35="","",'4-1.手当等支給メニュー'!$AG39))</f>
        <v/>
      </c>
      <c r="M35" s="824" t="str">
        <f>IF('4-1.手当等支給メニュー'!$AP39="","",IF($C35="","",'4-1.手当等支給メニュー'!$AP39))</f>
        <v/>
      </c>
      <c r="N35" s="825" t="str">
        <f>IF('4-1.手当等支給メニュー'!$AV39="","",IF($C35="","",'4-1.手当等支給メニュー'!$AV39))</f>
        <v/>
      </c>
      <c r="O35" s="812" t="str">
        <f>IF('4-1.手当等支給メニュー'!$AW39="","",IF($C35="","",'4-1.手当等支給メニュー'!$AW39))</f>
        <v/>
      </c>
      <c r="P35" s="863" t="str">
        <f t="shared" si="0"/>
        <v/>
      </c>
      <c r="Q35" s="819"/>
      <c r="S35" s="794"/>
    </row>
    <row r="36" spans="2:19" ht="24" customHeight="1" x14ac:dyDescent="0.15">
      <c r="B36" s="827">
        <v>26</v>
      </c>
      <c r="C36" s="818" t="str">
        <f>IF('4-1.手当等支給メニュー'!$C40="","",'4-1.手当等支給メニュー'!$C40)</f>
        <v/>
      </c>
      <c r="D36" s="857" t="str">
        <f>IF('4-1.手当等支給メニュー'!$E40="","",IF($C36="","",'4-1.手当等支給メニュー'!$E40))</f>
        <v/>
      </c>
      <c r="E36" s="861" t="str">
        <f>IF('4-1.手当等支給メニュー'!$G40="","",IF($C36="","",'4-1.手当等支給メニュー'!$G40))</f>
        <v/>
      </c>
      <c r="F36" s="820" t="str">
        <f>IF('4-1.手当等支給メニュー'!$I40="","",IF($C36="","",'4-1.手当等支給メニュー'!$I40))</f>
        <v/>
      </c>
      <c r="G36" s="821" t="str">
        <f>IF('4-1.手当等支給メニュー'!$K40="","",IF($C36="","",'4-1.手当等支給メニュー'!$K40))</f>
        <v/>
      </c>
      <c r="H36" s="822" t="str">
        <f>IF('4-1.手当等支給メニュー'!$L40="","",IF($C36="","",'4-1.手当等支給メニュー'!$L40))</f>
        <v/>
      </c>
      <c r="I36" s="812" t="str">
        <f>IF('4-1.手当等支給メニュー'!$M40="","",IF($H36="","",'4-1.手当等支給メニュー'!$M40))</f>
        <v/>
      </c>
      <c r="J36" s="854" t="str">
        <f>IF('4-1.手当等支給メニュー'!$N40="","",IF($H36="","",'4-1.手当等支給メニュー'!$N40))</f>
        <v/>
      </c>
      <c r="K36" s="854" t="str">
        <f>IF($C36="","",IF('4-1.手当等支給メニュー'!$R40="","",'4-1.手当等支給メニュー'!$R40))</f>
        <v/>
      </c>
      <c r="L36" s="823" t="str">
        <f>IF('4-1.手当等支給メニュー'!$AG40="","",IF($C36="","",'4-1.手当等支給メニュー'!$AG40))</f>
        <v/>
      </c>
      <c r="M36" s="824" t="str">
        <f>IF('4-1.手当等支給メニュー'!$AP40="","",IF($C36="","",'4-1.手当等支給メニュー'!$AP40))</f>
        <v/>
      </c>
      <c r="N36" s="825" t="str">
        <f>IF('4-1.手当等支給メニュー'!$AV40="","",IF($C36="","",'4-1.手当等支給メニュー'!$AV40))</f>
        <v/>
      </c>
      <c r="O36" s="812" t="str">
        <f>IF('4-1.手当等支給メニュー'!$AW40="","",IF($C36="","",'4-1.手当等支給メニュー'!$AW40))</f>
        <v/>
      </c>
      <c r="P36" s="863" t="str">
        <f t="shared" si="0"/>
        <v/>
      </c>
      <c r="Q36" s="819"/>
      <c r="S36" s="794"/>
    </row>
    <row r="37" spans="2:19" ht="24" customHeight="1" x14ac:dyDescent="0.15">
      <c r="B37" s="827">
        <v>27</v>
      </c>
      <c r="C37" s="818" t="str">
        <f>IF('4-1.手当等支給メニュー'!$C41="","",'4-1.手当等支給メニュー'!$C41)</f>
        <v/>
      </c>
      <c r="D37" s="857" t="str">
        <f>IF('4-1.手当等支給メニュー'!$E41="","",IF($C37="","",'4-1.手当等支給メニュー'!$E41))</f>
        <v/>
      </c>
      <c r="E37" s="861" t="str">
        <f>IF('4-1.手当等支給メニュー'!$G41="","",IF($C37="","",'4-1.手当等支給メニュー'!$G41))</f>
        <v/>
      </c>
      <c r="F37" s="820" t="str">
        <f>IF('4-1.手当等支給メニュー'!$I41="","",IF($C37="","",'4-1.手当等支給メニュー'!$I41))</f>
        <v/>
      </c>
      <c r="G37" s="821" t="str">
        <f>IF('4-1.手当等支給メニュー'!$K41="","",IF($C37="","",'4-1.手当等支給メニュー'!$K41))</f>
        <v/>
      </c>
      <c r="H37" s="822" t="str">
        <f>IF('4-1.手当等支給メニュー'!$L41="","",IF($C37="","",'4-1.手当等支給メニュー'!$L41))</f>
        <v/>
      </c>
      <c r="I37" s="812" t="str">
        <f>IF('4-1.手当等支給メニュー'!$M41="","",IF($H37="","",'4-1.手当等支給メニュー'!$M41))</f>
        <v/>
      </c>
      <c r="J37" s="854" t="str">
        <f>IF('4-1.手当等支給メニュー'!$N41="","",IF($H37="","",'4-1.手当等支給メニュー'!$N41))</f>
        <v/>
      </c>
      <c r="K37" s="854" t="str">
        <f>IF($C37="","",IF('4-1.手当等支給メニュー'!$R41="","",'4-1.手当等支給メニュー'!$R41))</f>
        <v/>
      </c>
      <c r="L37" s="823" t="str">
        <f>IF('4-1.手当等支給メニュー'!$AG41="","",IF($C37="","",'4-1.手当等支給メニュー'!$AG41))</f>
        <v/>
      </c>
      <c r="M37" s="824" t="str">
        <f>IF('4-1.手当等支給メニュー'!$AP41="","",IF($C37="","",'4-1.手当等支給メニュー'!$AP41))</f>
        <v/>
      </c>
      <c r="N37" s="825" t="str">
        <f>IF('4-1.手当等支給メニュー'!$AV41="","",IF($C37="","",'4-1.手当等支給メニュー'!$AV41))</f>
        <v/>
      </c>
      <c r="O37" s="812" t="str">
        <f>IF('4-1.手当等支給メニュー'!$AW41="","",IF($C37="","",'4-1.手当等支給メニュー'!$AW41))</f>
        <v/>
      </c>
      <c r="P37" s="863" t="str">
        <f t="shared" si="0"/>
        <v/>
      </c>
      <c r="Q37" s="819"/>
      <c r="S37" s="794"/>
    </row>
    <row r="38" spans="2:19" ht="24" customHeight="1" x14ac:dyDescent="0.15">
      <c r="B38" s="817">
        <v>28</v>
      </c>
      <c r="C38" s="818" t="str">
        <f>IF('4-1.手当等支給メニュー'!$C42="","",'4-1.手当等支給メニュー'!$C42)</f>
        <v/>
      </c>
      <c r="D38" s="857" t="str">
        <f>IF('4-1.手当等支給メニュー'!$E42="","",IF($C38="","",'4-1.手当等支給メニュー'!$E42))</f>
        <v/>
      </c>
      <c r="E38" s="861" t="str">
        <f>IF('4-1.手当等支給メニュー'!$G42="","",IF($C38="","",'4-1.手当等支給メニュー'!$G42))</f>
        <v/>
      </c>
      <c r="F38" s="820" t="str">
        <f>IF('4-1.手当等支給メニュー'!$I42="","",IF($C38="","",'4-1.手当等支給メニュー'!$I42))</f>
        <v/>
      </c>
      <c r="G38" s="821" t="str">
        <f>IF('4-1.手当等支給メニュー'!$K42="","",IF($C38="","",'4-1.手当等支給メニュー'!$K42))</f>
        <v/>
      </c>
      <c r="H38" s="822" t="str">
        <f>IF('4-1.手当等支給メニュー'!$L42="","",IF($C38="","",'4-1.手当等支給メニュー'!$L42))</f>
        <v/>
      </c>
      <c r="I38" s="812" t="str">
        <f>IF('4-1.手当等支給メニュー'!$M42="","",IF($H38="","",'4-1.手当等支給メニュー'!$M42))</f>
        <v/>
      </c>
      <c r="J38" s="854" t="str">
        <f>IF('4-1.手当等支給メニュー'!$N42="","",IF($H38="","",'4-1.手当等支給メニュー'!$N42))</f>
        <v/>
      </c>
      <c r="K38" s="854" t="str">
        <f>IF($C38="","",IF('4-1.手当等支給メニュー'!$R42="","",'4-1.手当等支給メニュー'!$R42))</f>
        <v/>
      </c>
      <c r="L38" s="823" t="str">
        <f>IF('4-1.手当等支給メニュー'!$AG42="","",IF($C38="","",'4-1.手当等支給メニュー'!$AG42))</f>
        <v/>
      </c>
      <c r="M38" s="824" t="str">
        <f>IF('4-1.手当等支給メニュー'!$AP42="","",IF($C38="","",'4-1.手当等支給メニュー'!$AP42))</f>
        <v/>
      </c>
      <c r="N38" s="825" t="str">
        <f>IF('4-1.手当等支給メニュー'!$AV42="","",IF($C38="","",'4-1.手当等支給メニュー'!$AV42))</f>
        <v/>
      </c>
      <c r="O38" s="812" t="str">
        <f>IF('4-1.手当等支給メニュー'!$AW42="","",IF($C38="","",'4-1.手当等支給メニュー'!$AW42))</f>
        <v/>
      </c>
      <c r="P38" s="863" t="str">
        <f t="shared" si="0"/>
        <v/>
      </c>
      <c r="Q38" s="819"/>
      <c r="S38" s="794"/>
    </row>
    <row r="39" spans="2:19" ht="24" customHeight="1" x14ac:dyDescent="0.15">
      <c r="B39" s="827">
        <v>29</v>
      </c>
      <c r="C39" s="818" t="str">
        <f>IF('4-1.手当等支給メニュー'!$C43="","",'4-1.手当等支給メニュー'!$C43)</f>
        <v/>
      </c>
      <c r="D39" s="857" t="str">
        <f>IF('4-1.手当等支給メニュー'!$E43="","",IF($C39="","",'4-1.手当等支給メニュー'!$E43))</f>
        <v/>
      </c>
      <c r="E39" s="861" t="str">
        <f>IF('4-1.手当等支給メニュー'!$G43="","",IF($C39="","",'4-1.手当等支給メニュー'!$G43))</f>
        <v/>
      </c>
      <c r="F39" s="820" t="str">
        <f>IF('4-1.手当等支給メニュー'!$I43="","",IF($C39="","",'4-1.手当等支給メニュー'!$I43))</f>
        <v/>
      </c>
      <c r="G39" s="821" t="str">
        <f>IF('4-1.手当等支給メニュー'!$K43="","",IF($C39="","",'4-1.手当等支給メニュー'!$K43))</f>
        <v/>
      </c>
      <c r="H39" s="822" t="str">
        <f>IF('4-1.手当等支給メニュー'!$L43="","",IF($C39="","",'4-1.手当等支給メニュー'!$L43))</f>
        <v/>
      </c>
      <c r="I39" s="812" t="str">
        <f>IF('4-1.手当等支給メニュー'!$M43="","",IF($H39="","",'4-1.手当等支給メニュー'!$M43))</f>
        <v/>
      </c>
      <c r="J39" s="854" t="str">
        <f>IF('4-1.手当等支給メニュー'!$N43="","",IF($H39="","",'4-1.手当等支給メニュー'!$N43))</f>
        <v/>
      </c>
      <c r="K39" s="854" t="str">
        <f>IF($C39="","",IF('4-1.手当等支給メニュー'!$R43="","",'4-1.手当等支給メニュー'!$R43))</f>
        <v/>
      </c>
      <c r="L39" s="823" t="str">
        <f>IF('4-1.手当等支給メニュー'!$AG43="","",IF($C39="","",'4-1.手当等支給メニュー'!$AG43))</f>
        <v/>
      </c>
      <c r="M39" s="824" t="str">
        <f>IF('4-1.手当等支給メニュー'!$AP43="","",IF($C39="","",'4-1.手当等支給メニュー'!$AP43))</f>
        <v/>
      </c>
      <c r="N39" s="825" t="str">
        <f>IF('4-1.手当等支給メニュー'!$AV43="","",IF($C39="","",'4-1.手当等支給メニュー'!$AV43))</f>
        <v/>
      </c>
      <c r="O39" s="812" t="str">
        <f>IF('4-1.手当等支給メニュー'!$AW43="","",IF($C39="","",'4-1.手当等支給メニュー'!$AW43))</f>
        <v/>
      </c>
      <c r="P39" s="863" t="str">
        <f t="shared" si="0"/>
        <v/>
      </c>
      <c r="Q39" s="819"/>
      <c r="S39" s="794"/>
    </row>
    <row r="40" spans="2:19" ht="24" customHeight="1" thickBot="1" x14ac:dyDescent="0.2">
      <c r="B40" s="827">
        <v>30</v>
      </c>
      <c r="C40" s="872" t="str">
        <f>IF('4-1.手当等支給メニュー'!$C44="","",'4-1.手当等支給メニュー'!$C44)</f>
        <v/>
      </c>
      <c r="D40" s="857" t="str">
        <f>IF('4-1.手当等支給メニュー'!$E44="","",IF($C40="","",'4-1.手当等支給メニュー'!$E44))</f>
        <v/>
      </c>
      <c r="E40" s="861" t="str">
        <f>IF('4-1.手当等支給メニュー'!$G44="","",IF($C40="","",'4-1.手当等支給メニュー'!$G44))</f>
        <v/>
      </c>
      <c r="F40" s="809" t="str">
        <f>IF('4-1.手当等支給メニュー'!$I44="","",IF($C40="","",'4-1.手当等支給メニュー'!$I44))</f>
        <v/>
      </c>
      <c r="G40" s="873" t="str">
        <f>IF('4-1.手当等支給メニュー'!$K44="","",IF($C40="","",'4-1.手当等支給メニュー'!$K44))</f>
        <v/>
      </c>
      <c r="H40" s="863" t="str">
        <f>IF('4-1.手当等支給メニュー'!$L44="","",IF($C40="","",'4-1.手当等支給メニュー'!$L44))</f>
        <v/>
      </c>
      <c r="I40" s="873" t="str">
        <f>IF('4-1.手当等支給メニュー'!$M44="","",IF($H40="","",'4-1.手当等支給メニュー'!$M44))</f>
        <v/>
      </c>
      <c r="J40" s="873" t="str">
        <f>IF('4-1.手当等支給メニュー'!$N44="","",IF($H40="","",'4-1.手当等支給メニュー'!$N44))</f>
        <v/>
      </c>
      <c r="K40" s="873" t="str">
        <f>IF($C40="","",IF('4-1.手当等支給メニュー'!$R44="","",'4-1.手当等支給メニュー'!$R44))</f>
        <v/>
      </c>
      <c r="L40" s="873" t="str">
        <f>IF('4-1.手当等支給メニュー'!$AG44="","",IF($C40="","",'4-1.手当等支給メニュー'!$AG44))</f>
        <v/>
      </c>
      <c r="M40" s="863" t="str">
        <f>IF('4-1.手当等支給メニュー'!$AP44="","",IF($C40="","",'4-1.手当等支給メニュー'!$AP44))</f>
        <v/>
      </c>
      <c r="N40" s="863" t="str">
        <f>IF('4-1.手当等支給メニュー'!$AV44="","",IF($C40="","",'4-1.手当等支給メニュー'!$AV44))</f>
        <v/>
      </c>
      <c r="O40" s="873" t="str">
        <f>IF('4-1.手当等支給メニュー'!$AW44="","",IF($C40="","",'4-1.手当等支給メニュー'!$AW44))</f>
        <v/>
      </c>
      <c r="P40" s="863" t="str">
        <f t="shared" si="0"/>
        <v/>
      </c>
      <c r="Q40" s="819"/>
      <c r="S40" s="794"/>
    </row>
    <row r="41" spans="2:19" x14ac:dyDescent="0.15">
      <c r="S41" s="794"/>
    </row>
    <row r="42" spans="2:19" x14ac:dyDescent="0.15">
      <c r="S42" s="794"/>
    </row>
    <row r="43" spans="2:19" x14ac:dyDescent="0.15">
      <c r="S43" s="794"/>
    </row>
    <row r="44" spans="2:19" x14ac:dyDescent="0.15">
      <c r="S44" s="794"/>
    </row>
    <row r="45" spans="2:19" x14ac:dyDescent="0.15">
      <c r="S45" s="794"/>
    </row>
    <row r="46" spans="2:19" x14ac:dyDescent="0.15">
      <c r="S46" s="794"/>
    </row>
  </sheetData>
  <sheetProtection algorithmName="SHA-512" hashValue="zVUqJPj5nUKJ8a1sEqiSR2GmIzO00q9/lStfrfJVLCaf82Z59b/XhzlLwN0BWW5zzBIrYBS39YWC0+XEh0juEw==" saltValue="KpVs3AOgHZVNTusA8G/ySg==" spinCount="100000" sheet="1" objects="1" scenarios="1"/>
  <mergeCells count="3">
    <mergeCell ref="S9:T9"/>
    <mergeCell ref="M4:Q7"/>
    <mergeCell ref="F5:G5"/>
  </mergeCells>
  <phoneticPr fontId="3"/>
  <conditionalFormatting sqref="C11 J11:J40">
    <cfRule type="expression" dxfId="30" priority="105">
      <formula>C11&gt;=$S$15</formula>
    </cfRule>
    <cfRule type="expression" dxfId="29" priority="106">
      <formula>C11&gt;=$S$14</formula>
    </cfRule>
    <cfRule type="expression" dxfId="28" priority="107">
      <formula>C11&gt;$S$13</formula>
    </cfRule>
    <cfRule type="expression" dxfId="27" priority="108">
      <formula>C11&gt;$S$12</formula>
    </cfRule>
    <cfRule type="expression" dxfId="26" priority="109">
      <formula>C11&lt;=$S$11</formula>
    </cfRule>
    <cfRule type="expression" priority="110">
      <formula>$O11&lt;=$S$11</formula>
    </cfRule>
  </conditionalFormatting>
  <conditionalFormatting sqref="Q11:Q40">
    <cfRule type="expression" dxfId="25" priority="1">
      <formula>$C11=""</formula>
    </cfRule>
    <cfRule type="expression" dxfId="24" priority="5">
      <formula>AND($F11&gt;=20,$H11&gt;=88000)</formula>
    </cfRule>
  </conditionalFormatting>
  <printOptions horizontalCentered="1"/>
  <pageMargins left="0.39370078740157483" right="0.39370078740157483" top="0.78740157480314965" bottom="0.59055118110236227" header="0.51181102362204722" footer="0.51181102362204722"/>
  <pageSetup paperSize="9" pageOrder="overThenDown" orientation="landscape" r:id="rId1"/>
  <headerFooter alignWithMargins="0">
    <oddFooter>&amp;C&amp;P</oddFooter>
  </headerFooter>
  <colBreaks count="2" manualBreakCount="2">
    <brk id="10" min="2" max="24" man="1"/>
    <brk id="17" min="3" max="38"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7D6D9-506D-45F3-983A-376F1637EDA5}">
  <sheetPr>
    <tabColor rgb="FFFF6600"/>
    <pageSetUpPr autoPageBreaks="0"/>
  </sheetPr>
  <dimension ref="B1:AZ47"/>
  <sheetViews>
    <sheetView showGridLines="0" zoomScaleNormal="100" zoomScaleSheetLayoutView="80" workbookViewId="0">
      <selection activeCell="G16" sqref="G16"/>
    </sheetView>
  </sheetViews>
  <sheetFormatPr defaultRowHeight="14.25" x14ac:dyDescent="0.15"/>
  <cols>
    <col min="1" max="2" width="6" style="38" customWidth="1"/>
    <col min="3" max="3" width="18.125" style="38" customWidth="1"/>
    <col min="4" max="4" width="15.25" style="38" customWidth="1"/>
    <col min="5" max="5" width="11" style="38" customWidth="1"/>
    <col min="6" max="6" width="13" style="38" customWidth="1"/>
    <col min="7" max="7" width="11.625" style="38" customWidth="1"/>
    <col min="8" max="8" width="14.625" style="38" customWidth="1"/>
    <col min="9" max="9" width="11.625" style="38" customWidth="1"/>
    <col min="10" max="10" width="14.75" style="38" customWidth="1"/>
    <col min="11" max="11" width="12.375" style="38" customWidth="1"/>
    <col min="12" max="13" width="14.625" style="38" customWidth="1"/>
    <col min="14" max="14" width="14" style="38" customWidth="1"/>
    <col min="15" max="15" width="14.75" style="38" customWidth="1"/>
    <col min="16" max="16" width="12" style="38" customWidth="1"/>
    <col min="17" max="18" width="14.25" style="38" customWidth="1"/>
    <col min="19" max="19" width="13.25" style="38" customWidth="1"/>
    <col min="20" max="20" width="11.625" style="38" customWidth="1"/>
    <col min="21" max="23" width="14.375" style="38" customWidth="1"/>
    <col min="24" max="24" width="11.625" style="38" customWidth="1"/>
    <col min="25" max="25" width="12.375" style="38" customWidth="1"/>
    <col min="26" max="26" width="16.25" style="38" customWidth="1"/>
    <col min="27" max="27" width="12.375" style="38" customWidth="1"/>
    <col min="28" max="33" width="14.875" style="38" customWidth="1"/>
    <col min="34" max="35" width="15.125" style="38" customWidth="1"/>
    <col min="36" max="36" width="19.625" style="38" customWidth="1"/>
    <col min="37" max="38" width="14.625" style="38" customWidth="1"/>
    <col min="39" max="40" width="15.625" style="38" customWidth="1"/>
    <col min="41" max="41" width="14.625" style="38" customWidth="1"/>
    <col min="42" max="42" width="17.875" style="38" customWidth="1"/>
    <col min="43" max="43" width="12.25" style="38" customWidth="1"/>
    <col min="44" max="44" width="17.625" style="38" customWidth="1"/>
    <col min="45" max="45" width="12" style="38" customWidth="1"/>
    <col min="46" max="47" width="9" style="38"/>
    <col min="48" max="48" width="24.875" style="38" customWidth="1"/>
    <col min="49" max="49" width="23" style="38" customWidth="1"/>
    <col min="50" max="50" width="25.625" style="38" customWidth="1"/>
    <col min="51" max="51" width="22.5" style="38" customWidth="1"/>
    <col min="52" max="56" width="28.625" style="38" customWidth="1"/>
    <col min="57" max="58" width="15.5" style="38" customWidth="1"/>
    <col min="59" max="16384" width="9" style="38"/>
  </cols>
  <sheetData>
    <row r="1" spans="2:52" ht="15" thickBot="1" x14ac:dyDescent="0.2">
      <c r="C1" s="148">
        <v>1</v>
      </c>
      <c r="D1" s="148"/>
      <c r="E1" s="148"/>
      <c r="F1" s="148">
        <v>2</v>
      </c>
      <c r="G1" s="148">
        <v>3</v>
      </c>
      <c r="H1" s="148">
        <v>4</v>
      </c>
      <c r="I1" s="148"/>
      <c r="J1" s="148">
        <v>6</v>
      </c>
      <c r="K1" s="148">
        <v>7</v>
      </c>
      <c r="L1" s="148">
        <v>8</v>
      </c>
      <c r="M1" s="148">
        <v>9</v>
      </c>
      <c r="N1" s="148">
        <v>10</v>
      </c>
      <c r="O1" s="148">
        <v>11</v>
      </c>
      <c r="P1" s="148">
        <v>12</v>
      </c>
      <c r="Q1" s="148">
        <v>13</v>
      </c>
      <c r="R1" s="148">
        <v>14</v>
      </c>
      <c r="S1" s="148">
        <v>15</v>
      </c>
      <c r="T1" s="148">
        <v>16</v>
      </c>
      <c r="U1" s="148">
        <v>17</v>
      </c>
      <c r="V1" s="148">
        <v>18</v>
      </c>
      <c r="W1" s="148">
        <v>19</v>
      </c>
      <c r="X1" s="148">
        <v>20</v>
      </c>
      <c r="Y1" s="148">
        <v>21</v>
      </c>
      <c r="Z1" s="148">
        <v>22</v>
      </c>
      <c r="AA1" s="148">
        <v>23</v>
      </c>
      <c r="AB1" s="148">
        <v>24</v>
      </c>
      <c r="AC1" s="148">
        <v>25</v>
      </c>
      <c r="AD1" s="148">
        <v>26</v>
      </c>
      <c r="AE1" s="148">
        <v>27</v>
      </c>
      <c r="AF1" s="148">
        <v>28</v>
      </c>
      <c r="AG1" s="148">
        <v>29</v>
      </c>
      <c r="AH1" s="148">
        <v>30</v>
      </c>
      <c r="AI1" s="148">
        <v>31</v>
      </c>
      <c r="AJ1" s="148">
        <v>32</v>
      </c>
      <c r="AK1" s="148">
        <v>33</v>
      </c>
      <c r="AL1" s="148">
        <v>34</v>
      </c>
      <c r="AM1" s="148">
        <v>35</v>
      </c>
      <c r="AN1" s="148">
        <v>36</v>
      </c>
      <c r="AO1" s="148">
        <v>37</v>
      </c>
      <c r="AP1" s="148">
        <v>38</v>
      </c>
      <c r="AQ1" s="148"/>
      <c r="AR1" s="148"/>
    </row>
    <row r="2" spans="2:52" ht="38.25" customHeight="1" thickBot="1" x14ac:dyDescent="0.25">
      <c r="C2" s="111"/>
      <c r="E2" s="111"/>
      <c r="J2" s="483">
        <f>IF('1-1.従業員データ給与改定案入力画面'!$N$2="","",IF(OR('1-1.従業員データ給与改定案入力画面'!$N$2=2,'1-1.従業員データ給与改定案入力画面'!$N$2=1),"",'1-1.従業員データ給与改定案入力画面'!$N$2))</f>
        <v>3</v>
      </c>
      <c r="K2" s="207"/>
      <c r="W2" s="150" t="s">
        <v>27</v>
      </c>
      <c r="Y2" s="151" t="s">
        <v>28</v>
      </c>
    </row>
    <row r="3" spans="2:52" ht="19.5" customHeight="1" thickBot="1" x14ac:dyDescent="0.25">
      <c r="D3" s="203" t="s">
        <v>111</v>
      </c>
      <c r="H3" s="150" t="s">
        <v>286</v>
      </c>
      <c r="I3" s="204"/>
      <c r="L3" s="191"/>
      <c r="AA3" s="40"/>
      <c r="AB3" s="40"/>
      <c r="AC3" s="40"/>
      <c r="AD3" s="40"/>
      <c r="AR3" s="208"/>
      <c r="AS3" s="208"/>
      <c r="AT3" s="208"/>
      <c r="AU3" s="333"/>
      <c r="AV3" s="333"/>
      <c r="AW3" s="333" t="s">
        <v>190</v>
      </c>
      <c r="AX3" s="480">
        <v>2</v>
      </c>
      <c r="AY3" s="480">
        <v>3</v>
      </c>
      <c r="AZ3" s="480">
        <v>4</v>
      </c>
    </row>
    <row r="4" spans="2:52" ht="35.25" customHeight="1" thickBot="1" x14ac:dyDescent="0.2">
      <c r="C4" s="81" t="s">
        <v>79</v>
      </c>
      <c r="D4" s="463">
        <v>103</v>
      </c>
      <c r="E4" s="200"/>
      <c r="G4" s="199"/>
      <c r="H4" s="40"/>
      <c r="I4" s="40"/>
      <c r="J4" s="1019" t="s">
        <v>252</v>
      </c>
      <c r="K4" s="1019" t="s">
        <v>253</v>
      </c>
      <c r="L4" s="1019" t="s">
        <v>254</v>
      </c>
      <c r="M4" s="1020" t="s">
        <v>160</v>
      </c>
      <c r="N4" s="49"/>
      <c r="Q4" s="118" t="s">
        <v>118</v>
      </c>
      <c r="T4" s="1033" t="s">
        <v>21</v>
      </c>
      <c r="U4" s="1034"/>
      <c r="V4" s="1034"/>
      <c r="W4" s="1034"/>
      <c r="X4" s="1035"/>
      <c r="Z4" s="39"/>
      <c r="AA4" s="39"/>
      <c r="AC4" s="118" t="s">
        <v>119</v>
      </c>
      <c r="AD4" s="39"/>
      <c r="AJ4" s="118" t="s">
        <v>117</v>
      </c>
      <c r="AL4" s="181" t="s">
        <v>158</v>
      </c>
      <c r="AP4" s="118" t="s">
        <v>266</v>
      </c>
      <c r="AQ4" s="118"/>
      <c r="AR4" s="208"/>
      <c r="AS4" s="208"/>
      <c r="AT4" s="208"/>
      <c r="AU4" s="333"/>
      <c r="AV4" s="209" t="s">
        <v>195</v>
      </c>
      <c r="AW4" s="209" t="s">
        <v>205</v>
      </c>
      <c r="AX4" s="224" t="s">
        <v>330</v>
      </c>
      <c r="AY4" s="224" t="s">
        <v>331</v>
      </c>
      <c r="AZ4" s="224" t="s">
        <v>332</v>
      </c>
    </row>
    <row r="5" spans="2:52" ht="30" customHeight="1" thickBot="1" x14ac:dyDescent="0.2">
      <c r="C5" s="1050" t="s">
        <v>110</v>
      </c>
      <c r="D5" s="1051"/>
      <c r="E5" s="49"/>
      <c r="G5" s="200"/>
      <c r="H5" s="52"/>
      <c r="I5" s="52"/>
      <c r="J5" s="1019"/>
      <c r="K5" s="1019"/>
      <c r="L5" s="1019"/>
      <c r="M5" s="1020"/>
      <c r="N5" s="49"/>
      <c r="Q5" s="118"/>
      <c r="T5" s="142" t="s">
        <v>133</v>
      </c>
      <c r="U5" s="143" t="s">
        <v>134</v>
      </c>
      <c r="V5" s="58" t="s">
        <v>33</v>
      </c>
      <c r="W5" s="58" t="s">
        <v>34</v>
      </c>
      <c r="X5" s="82" t="s">
        <v>107</v>
      </c>
      <c r="Z5" s="39"/>
      <c r="AA5" s="39"/>
      <c r="AC5" s="118"/>
      <c r="AD5" s="39"/>
      <c r="AJ5" s="118"/>
      <c r="AL5" s="1005" t="s">
        <v>139</v>
      </c>
      <c r="AM5" s="1007"/>
      <c r="AP5" s="118"/>
      <c r="AQ5" s="118"/>
      <c r="AR5" s="208"/>
      <c r="AS5" s="208"/>
      <c r="AT5" s="208"/>
      <c r="AU5" s="210" t="s">
        <v>189</v>
      </c>
      <c r="AV5" s="224" t="s">
        <v>322</v>
      </c>
      <c r="AW5" s="209">
        <v>1</v>
      </c>
      <c r="AX5" s="209"/>
      <c r="AY5" s="209">
        <v>2</v>
      </c>
      <c r="AZ5" s="209"/>
    </row>
    <row r="6" spans="2:52" ht="28.5" customHeight="1" thickBot="1" x14ac:dyDescent="0.2">
      <c r="C6" s="80" t="str">
        <f>IF($D$4="","",VLOOKUP($D$4,'1-1.従業員データ給与改定案入力画面'!$C$10:$AL$1010,2,0))</f>
        <v>ＡＣ</v>
      </c>
      <c r="D6" s="55" t="s">
        <v>32</v>
      </c>
      <c r="E6" s="491"/>
      <c r="G6" s="200"/>
      <c r="H6" s="53"/>
      <c r="I6" s="53"/>
      <c r="J6" s="54">
        <f>IF($D$4="","",VLOOKUP($D$4,'1-1.従業員データ給与改定案入力画面'!$C$10:$AL$1010,31,0)-VLOOKUP($D$4,'1-1.従業員データ給与改定案入力画面'!$C$10:$AL$1010,19,0))</f>
        <v>2000</v>
      </c>
      <c r="K6" s="54">
        <f>IF($D$4="","",VLOOKUP($D$4,'1-1.従業員データ給与改定案入力画面'!$C$10:$AL$1010,32,0)-VLOOKUP($D$4,'1-1.従業員データ給与改定案入力画面'!$C$10:$AL$1010,19,0))</f>
        <v>4500</v>
      </c>
      <c r="L6" s="54">
        <f>IF($D$4="","",VLOOKUP($D$4,'1-1.従業員データ給与改定案入力画面'!$C$10:$AL$1010,30,0)-VLOOKUP($D$4,'1-1.従業員データ給与改定案入力画面'!$C$10:$AL$1010,19,0))</f>
        <v>0</v>
      </c>
      <c r="M6" s="54">
        <f>IF($D$4="","",VLOOKUP($D$4,'1-1.従業員データ給与改定案入力画面'!$C$10:$AL$1010,36,0))</f>
        <v>0</v>
      </c>
      <c r="N6" s="221"/>
      <c r="T6" s="139">
        <f>'2-2.保険料・地方税等入力画面'!$G$7</f>
        <v>0.10290000000000001</v>
      </c>
      <c r="U6" s="140">
        <f>'2-2.保険料・地方税等入力画面'!$H$7</f>
        <v>0.1211</v>
      </c>
      <c r="V6" s="140">
        <f>'2-2.保険料・地方税等入力画面'!$I$7</f>
        <v>1.8199999999999994E-2</v>
      </c>
      <c r="W6" s="140">
        <f>'2-2.保険料・地方税等入力画面'!$J$7</f>
        <v>0.183</v>
      </c>
      <c r="X6" s="141">
        <f>'2-2.保険料・地方税等入力画面'!$E$5</f>
        <v>1.55E-2</v>
      </c>
      <c r="Z6" s="39"/>
      <c r="AA6" s="39"/>
      <c r="AC6" s="39"/>
      <c r="AD6" s="39"/>
      <c r="AL6" s="335" t="s">
        <v>81</v>
      </c>
      <c r="AM6" s="335" t="s">
        <v>65</v>
      </c>
      <c r="AR6" s="208"/>
      <c r="AS6" s="208"/>
      <c r="AT6" s="208"/>
      <c r="AU6" s="210" t="s">
        <v>191</v>
      </c>
      <c r="AV6" s="224" t="s">
        <v>193</v>
      </c>
      <c r="AW6" s="209">
        <v>2</v>
      </c>
      <c r="AX6" s="209"/>
      <c r="AY6" s="209">
        <v>2</v>
      </c>
      <c r="AZ6" s="209"/>
    </row>
    <row r="7" spans="2:52" ht="21" customHeight="1" thickBot="1" x14ac:dyDescent="0.2">
      <c r="C7" s="56" t="s">
        <v>168</v>
      </c>
      <c r="D7" s="57">
        <f>IF($D$4="","",VLOOKUP($D$4,'1-1.従業員データ給与改定案入力画面'!$C$10:$AL$1010,11,0))</f>
        <v>4</v>
      </c>
      <c r="E7" s="417"/>
      <c r="F7" s="55" t="s">
        <v>44</v>
      </c>
      <c r="G7" s="492" t="s">
        <v>316</v>
      </c>
      <c r="H7" s="55" t="s">
        <v>315</v>
      </c>
      <c r="J7" s="676"/>
      <c r="T7" s="178">
        <f>T6/2</f>
        <v>5.1450000000000003E-2</v>
      </c>
      <c r="U7" s="179">
        <f>U6/2</f>
        <v>6.055E-2</v>
      </c>
      <c r="V7" s="179">
        <f>V6/2</f>
        <v>9.099999999999997E-3</v>
      </c>
      <c r="W7" s="179">
        <f>W6/2</f>
        <v>9.1499999999999998E-2</v>
      </c>
      <c r="X7" s="180">
        <f>'2-2.保険料・地方税等入力画面'!$E$6</f>
        <v>6.0000000000000001E-3</v>
      </c>
      <c r="Z7" s="39"/>
      <c r="AA7" s="39"/>
      <c r="AB7" s="39"/>
      <c r="AC7" s="39"/>
      <c r="AD7" s="39"/>
      <c r="AJ7" s="336" t="s">
        <v>129</v>
      </c>
      <c r="AK7" s="40"/>
      <c r="AL7" s="147">
        <f>IF($AJ$8="","",VLOOKUP($AJ$8,'2-2.保険料・地方税等入力画面'!$D$20:$K$79,7,0))</f>
        <v>965000</v>
      </c>
      <c r="AM7" s="147">
        <f>IF($AJ$8="","",VLOOKUP($AJ$8,'2-2.保険料・地方税等入力画面'!$D$20:$K$79,8,0))</f>
        <v>1000000</v>
      </c>
      <c r="AR7" s="208"/>
      <c r="AS7" s="208"/>
      <c r="AT7" s="208"/>
      <c r="AU7" s="210" t="s">
        <v>192</v>
      </c>
      <c r="AV7" s="224" t="s">
        <v>194</v>
      </c>
      <c r="AW7" s="209">
        <v>3</v>
      </c>
      <c r="AX7" s="209">
        <v>1</v>
      </c>
      <c r="AY7" s="209"/>
      <c r="AZ7" s="209">
        <v>1</v>
      </c>
    </row>
    <row r="8" spans="2:52" ht="21" customHeight="1" thickBot="1" x14ac:dyDescent="0.2">
      <c r="C8" s="56" t="s">
        <v>102</v>
      </c>
      <c r="D8" s="57">
        <f>IF($D$4="","",VLOOKUP($D$4,'1-1.従業員データ給与改定案入力画面'!$C$10:$AL$1010,12,0))</f>
        <v>4</v>
      </c>
      <c r="E8" s="417"/>
      <c r="F8" s="361">
        <v>4</v>
      </c>
      <c r="G8" s="361" t="s">
        <v>105</v>
      </c>
      <c r="H8" s="345">
        <v>0</v>
      </c>
      <c r="J8" s="1016" t="s">
        <v>297</v>
      </c>
      <c r="K8" s="1017"/>
      <c r="M8" s="1023" t="s">
        <v>108</v>
      </c>
      <c r="N8" s="1024"/>
      <c r="O8" s="1025"/>
      <c r="AB8" s="39"/>
      <c r="AJ8" s="337" t="str">
        <f>IF($D$4="","",VLOOKUP($D$4,'1-1.従業員データ給与改定案入力画面'!$C$10:$AL$1010,3,0))</f>
        <v>奈良市</v>
      </c>
      <c r="AL8" s="1018" t="s">
        <v>64</v>
      </c>
      <c r="AM8" s="1018"/>
      <c r="AN8" s="1005" t="s">
        <v>65</v>
      </c>
      <c r="AO8" s="1006"/>
      <c r="AP8" s="118"/>
    </row>
    <row r="9" spans="2:52" ht="21" customHeight="1" thickBot="1" x14ac:dyDescent="0.2">
      <c r="C9" s="56" t="s">
        <v>293</v>
      </c>
      <c r="D9" s="393">
        <f>IF($D$4="","",VLOOKUP($D$4,'1-1.従業員データ給与改定案入力画面'!$C$10:$AL$1010,15,0))</f>
        <v>960</v>
      </c>
      <c r="E9" s="417"/>
      <c r="F9" s="361">
        <v>3</v>
      </c>
      <c r="G9" s="361">
        <v>4</v>
      </c>
      <c r="H9" s="714">
        <v>0.05</v>
      </c>
      <c r="J9" s="391">
        <v>1000000</v>
      </c>
      <c r="K9" s="705" t="s">
        <v>298</v>
      </c>
      <c r="M9" s="1026" t="s">
        <v>196</v>
      </c>
      <c r="N9" s="1027"/>
      <c r="O9" s="482">
        <f>IF($D$4="","",IF($J$2="","",IF($J$2=3,VLOOKUP($J$2,$AW$5:$AZ$7,2,0),IF($J$2=2,VLOOKUP($J$2,$AW$5:$AZ$7,3,0),IF($J$2=1,VLOOKUP($J$2,$AW$5:$AZ$7,4,0),"")))))</f>
        <v>1</v>
      </c>
      <c r="Y9" s="1049" t="s">
        <v>112</v>
      </c>
      <c r="AB9" s="39"/>
      <c r="AF9" s="51"/>
      <c r="AL9" s="338" t="s">
        <v>143</v>
      </c>
      <c r="AM9" s="338" t="s">
        <v>142</v>
      </c>
      <c r="AN9" s="334" t="s">
        <v>67</v>
      </c>
      <c r="AO9" s="338" t="s">
        <v>142</v>
      </c>
      <c r="AP9" s="118"/>
    </row>
    <row r="10" spans="2:52" ht="21" customHeight="1" thickBot="1" x14ac:dyDescent="0.2">
      <c r="C10" s="55" t="s">
        <v>19</v>
      </c>
      <c r="D10" s="57">
        <f>IF($D$4="","",VLOOKUP($D$4,'1-1.従業員データ給与改定案入力画面'!$C$10:$AL$1010,7,0))</f>
        <v>37</v>
      </c>
      <c r="E10" s="200"/>
      <c r="F10" s="361">
        <v>2</v>
      </c>
      <c r="G10" s="361">
        <v>3</v>
      </c>
      <c r="H10" s="714">
        <v>0.1</v>
      </c>
      <c r="J10" s="391">
        <v>1000000</v>
      </c>
      <c r="K10" s="707" t="s">
        <v>299</v>
      </c>
      <c r="M10" s="1026" t="s">
        <v>122</v>
      </c>
      <c r="N10" s="1028"/>
      <c r="O10" s="481">
        <f>$AZ$11</f>
        <v>1300000</v>
      </c>
      <c r="Q10" s="356" t="s">
        <v>197</v>
      </c>
      <c r="W10" s="134"/>
      <c r="X10" s="49"/>
      <c r="Y10" s="1029"/>
      <c r="AB10" s="39"/>
      <c r="AC10" s="39"/>
      <c r="AL10" s="339">
        <f>IF($AJ$8="","",VLOOKUP($AJ$8,'2-2.保険料・地方税等入力画面'!$D$20:$K$79,2,0))</f>
        <v>2000</v>
      </c>
      <c r="AM10" s="340">
        <f>IF($AJ$8="","",VLOOKUP($AJ$8,'2-2.保険料・地方税等入力画面'!$D$20:$K$79,3,0))</f>
        <v>3500</v>
      </c>
      <c r="AN10" s="341">
        <f>IF($AJ$8="","",VLOOKUP($AJ$8,'2-2.保険料・地方税等入力画面'!$D$20:$K$79,4,0))</f>
        <v>0.04</v>
      </c>
      <c r="AO10" s="342">
        <f>IF($AJ$8="","",VLOOKUP($AJ$8,'2-2.保険料・地方税等入力画面'!$D$20:$K$79,5,0))</f>
        <v>0.06</v>
      </c>
      <c r="AP10" s="118"/>
      <c r="AW10" s="224" t="s">
        <v>205</v>
      </c>
      <c r="AX10" s="998" t="s">
        <v>228</v>
      </c>
      <c r="AY10" s="998"/>
      <c r="AZ10" s="223" t="s">
        <v>231</v>
      </c>
    </row>
    <row r="11" spans="2:52" ht="21" customHeight="1" thickBot="1" x14ac:dyDescent="0.2">
      <c r="C11" s="55" t="s">
        <v>145</v>
      </c>
      <c r="D11" s="57" t="str">
        <f>IF($D$4="","",VLOOKUP($D$4,'1-1.従業員データ給与改定案入力画面'!$C$10:$AL$1010,3,0))</f>
        <v>奈良市</v>
      </c>
      <c r="E11" s="200"/>
      <c r="F11" s="361">
        <v>1</v>
      </c>
      <c r="G11" s="361">
        <v>2</v>
      </c>
      <c r="H11" s="714">
        <v>0.15</v>
      </c>
      <c r="J11" s="391">
        <v>1030000</v>
      </c>
      <c r="K11" s="708" t="s">
        <v>301</v>
      </c>
      <c r="M11" s="1021" t="s">
        <v>121</v>
      </c>
      <c r="N11" s="1022"/>
      <c r="O11" s="479">
        <f>$AZ$12</f>
        <v>30</v>
      </c>
      <c r="Q11" s="83" t="s">
        <v>140</v>
      </c>
      <c r="T11" s="219"/>
      <c r="W11" s="220"/>
      <c r="Y11" s="216">
        <f>$AZ$15</f>
        <v>20</v>
      </c>
      <c r="AC11" s="39"/>
      <c r="AO11" s="156" t="s">
        <v>144</v>
      </c>
      <c r="AW11" s="1003" t="s">
        <v>232</v>
      </c>
      <c r="AX11" s="998" t="s">
        <v>237</v>
      </c>
      <c r="AY11" s="998"/>
      <c r="AZ11" s="213">
        <v>1300000</v>
      </c>
    </row>
    <row r="12" spans="2:52" ht="22.5" customHeight="1" thickBot="1" x14ac:dyDescent="0.2">
      <c r="C12" s="157" t="s">
        <v>294</v>
      </c>
      <c r="D12" s="200"/>
      <c r="E12" s="200"/>
      <c r="F12" s="361">
        <v>0</v>
      </c>
      <c r="G12" s="641"/>
      <c r="H12" s="714">
        <v>0.18</v>
      </c>
      <c r="J12" s="391">
        <v>1060000</v>
      </c>
      <c r="K12" s="392" t="s">
        <v>309</v>
      </c>
      <c r="Q12" s="83" t="s">
        <v>267</v>
      </c>
      <c r="R12" s="106" t="s">
        <v>82</v>
      </c>
      <c r="S12" s="107" t="s">
        <v>92</v>
      </c>
      <c r="U12" s="105" t="s">
        <v>104</v>
      </c>
      <c r="V12" s="106" t="s">
        <v>123</v>
      </c>
      <c r="W12" s="214" t="s">
        <v>124</v>
      </c>
      <c r="X12" s="360" t="s">
        <v>92</v>
      </c>
      <c r="Y12" s="88" t="s">
        <v>84</v>
      </c>
      <c r="AA12" s="39"/>
      <c r="AB12" s="41"/>
      <c r="AC12" s="88" t="s">
        <v>115</v>
      </c>
      <c r="AH12" s="181"/>
      <c r="AK12" s="88" t="s">
        <v>115</v>
      </c>
      <c r="AM12" s="117" t="s">
        <v>98</v>
      </c>
      <c r="AN12" s="116" t="s">
        <v>116</v>
      </c>
      <c r="AO12" s="117" t="s">
        <v>16</v>
      </c>
      <c r="AW12" s="1004"/>
      <c r="AX12" s="999" t="s">
        <v>229</v>
      </c>
      <c r="AY12" s="999"/>
      <c r="AZ12" s="213">
        <v>30</v>
      </c>
    </row>
    <row r="13" spans="2:52" s="40" customFormat="1" ht="29.25" customHeight="1" thickBot="1" x14ac:dyDescent="0.2">
      <c r="C13" s="57">
        <f>IF($D$4="","",VLOOKUP($D$4,'1-1.従業員データ給与改定案入力画面'!$C$10:$AL$1010,16,0))</f>
        <v>40</v>
      </c>
      <c r="D13" s="201"/>
      <c r="E13" s="201"/>
      <c r="H13" s="709"/>
      <c r="I13" s="211"/>
      <c r="J13" s="391">
        <v>1300000</v>
      </c>
      <c r="K13" s="715" t="s">
        <v>300</v>
      </c>
      <c r="L13" s="388" t="s">
        <v>113</v>
      </c>
      <c r="Q13" s="112">
        <f>IF($O$9="","",$O$9)</f>
        <v>1</v>
      </c>
      <c r="R13" s="113">
        <f>$AZ$13</f>
        <v>88000</v>
      </c>
      <c r="S13" s="222">
        <f>$AZ$16</f>
        <v>40</v>
      </c>
      <c r="T13" s="60"/>
      <c r="U13" s="112">
        <f>IF($O$9="","",$O$9)</f>
        <v>1</v>
      </c>
      <c r="V13" s="113">
        <f>IF($O$10="","",$O$10)</f>
        <v>1300000</v>
      </c>
      <c r="W13" s="113">
        <f>IF($O$11="","",$O$11)</f>
        <v>30</v>
      </c>
      <c r="X13" s="222">
        <f>$AZ$16</f>
        <v>40</v>
      </c>
      <c r="Y13" s="87">
        <f>$X$7</f>
        <v>6.0000000000000001E-3</v>
      </c>
      <c r="Z13" s="38"/>
      <c r="AA13" s="149"/>
      <c r="AC13" s="114">
        <f>'3-2.所得算出参照表'!$I$16</f>
        <v>480000</v>
      </c>
      <c r="AD13" s="38"/>
      <c r="AE13" s="38"/>
      <c r="AF13" s="38"/>
      <c r="AG13" s="119"/>
      <c r="AI13" s="38"/>
      <c r="AJ13" s="38"/>
      <c r="AK13" s="125">
        <f>'3-2.所得算出参照表'!$I$17</f>
        <v>430000</v>
      </c>
      <c r="AL13" s="38"/>
      <c r="AM13" s="126">
        <f>IF($AL$10="",0,$AL$10+$AM$10)</f>
        <v>5500</v>
      </c>
      <c r="AN13" s="127">
        <f>IF($AN$10="",0,$AN$10+$AO$10)</f>
        <v>0.1</v>
      </c>
      <c r="AO13" s="126">
        <f>IF($AN$10="",0,'3-2.所得算出参照表'!$G$22)</f>
        <v>2000000</v>
      </c>
      <c r="AP13" s="1000" t="s">
        <v>120</v>
      </c>
      <c r="AQ13" s="38"/>
      <c r="AW13" s="1002" t="s">
        <v>233</v>
      </c>
      <c r="AX13" s="998" t="s">
        <v>227</v>
      </c>
      <c r="AY13" s="998"/>
      <c r="AZ13" s="213">
        <v>88000</v>
      </c>
    </row>
    <row r="14" spans="2:52" ht="53.25" customHeight="1" thickBot="1" x14ac:dyDescent="0.2">
      <c r="B14" s="99" t="s">
        <v>18</v>
      </c>
      <c r="C14" s="485" t="s">
        <v>295</v>
      </c>
      <c r="D14" s="485" t="s">
        <v>325</v>
      </c>
      <c r="E14" s="384" t="s">
        <v>326</v>
      </c>
      <c r="F14" s="445" t="s">
        <v>288</v>
      </c>
      <c r="G14" s="384" t="s">
        <v>304</v>
      </c>
      <c r="H14" s="384" t="s">
        <v>169</v>
      </c>
      <c r="I14" s="384" t="s">
        <v>106</v>
      </c>
      <c r="J14" s="389" t="s">
        <v>296</v>
      </c>
      <c r="K14" s="390" t="s">
        <v>256</v>
      </c>
      <c r="L14" s="382" t="s">
        <v>255</v>
      </c>
      <c r="M14" s="217" t="s">
        <v>17</v>
      </c>
      <c r="N14" s="189" t="s">
        <v>161</v>
      </c>
      <c r="O14" s="189" t="s">
        <v>163</v>
      </c>
      <c r="P14" s="217" t="s">
        <v>238</v>
      </c>
      <c r="Q14" s="190" t="s">
        <v>93</v>
      </c>
      <c r="R14" s="89" t="s">
        <v>94</v>
      </c>
      <c r="S14" s="89" t="s">
        <v>95</v>
      </c>
      <c r="T14" s="90" t="s">
        <v>109</v>
      </c>
      <c r="U14" s="77" t="s">
        <v>93</v>
      </c>
      <c r="V14" s="78" t="s">
        <v>94</v>
      </c>
      <c r="W14" s="78" t="s">
        <v>95</v>
      </c>
      <c r="X14" s="79" t="s">
        <v>109</v>
      </c>
      <c r="Y14" s="86" t="s">
        <v>162</v>
      </c>
      <c r="Z14" s="65" t="s">
        <v>114</v>
      </c>
      <c r="AA14" s="108" t="s">
        <v>16</v>
      </c>
      <c r="AB14" s="109" t="s">
        <v>85</v>
      </c>
      <c r="AC14" s="109" t="s">
        <v>56</v>
      </c>
      <c r="AD14" s="109" t="s">
        <v>89</v>
      </c>
      <c r="AE14" s="109" t="s">
        <v>87</v>
      </c>
      <c r="AF14" s="109" t="s">
        <v>88</v>
      </c>
      <c r="AG14" s="109" t="s">
        <v>46</v>
      </c>
      <c r="AH14" s="109" t="s">
        <v>90</v>
      </c>
      <c r="AI14" s="122" t="s">
        <v>91</v>
      </c>
      <c r="AJ14" s="387" t="s">
        <v>85</v>
      </c>
      <c r="AK14" s="78" t="s">
        <v>56</v>
      </c>
      <c r="AL14" s="78" t="s">
        <v>89</v>
      </c>
      <c r="AM14" s="78" t="s">
        <v>96</v>
      </c>
      <c r="AN14" s="78" t="s">
        <v>97</v>
      </c>
      <c r="AO14" s="78" t="s">
        <v>141</v>
      </c>
      <c r="AP14" s="1001"/>
      <c r="AW14" s="998"/>
      <c r="AX14" s="999" t="s">
        <v>230</v>
      </c>
      <c r="AY14" s="999"/>
      <c r="AZ14" s="213">
        <v>20</v>
      </c>
    </row>
    <row r="15" spans="2:52" ht="21.95" customHeight="1" thickBot="1" x14ac:dyDescent="0.2">
      <c r="B15" s="42">
        <v>1</v>
      </c>
      <c r="C15" s="84">
        <f>IF($D$4="","",IF($G15&lt;=0,0,IF($F15="","",$D$9+$C$13)))</f>
        <v>1000</v>
      </c>
      <c r="D15" s="490">
        <f>IF($C15="","",IF($F15&lt;0,0,IF($F15&gt;4,0,VLOOKUP($F15,$F$8:$H$12,3,0))))</f>
        <v>0.18</v>
      </c>
      <c r="E15" s="642">
        <f>IF($C15="","",$C15*(1+$D15))</f>
        <v>1180</v>
      </c>
      <c r="F15" s="396">
        <v>0</v>
      </c>
      <c r="G15" s="716">
        <v>21</v>
      </c>
      <c r="H15" s="385">
        <f t="shared" ref="H15:H44" si="0">IF($D$7="","",IF($G15="","",$G15*365/7))</f>
        <v>1095</v>
      </c>
      <c r="I15" s="383">
        <f t="shared" ref="I15:I44" si="1">IF($D$4="","",IF($E15="",0,$E15*$H15/12))</f>
        <v>107675</v>
      </c>
      <c r="J15" s="386">
        <f>IF($D$4="",0,IF($I15=0,0,$I15+$J$6))</f>
        <v>109675</v>
      </c>
      <c r="K15" s="98">
        <f t="shared" ref="K15:K44" si="2">IF($D$4="",0,IF($J15=0,0,$J15*12+$M$6))</f>
        <v>1316100</v>
      </c>
      <c r="L15" s="381">
        <f>IF($D$4="",0,IF($I15=0,0,$I15+$K$6))</f>
        <v>112175</v>
      </c>
      <c r="M15" s="94">
        <f>IF($D$4="",0,IF($L15=0,0,VLOOKUP($L15,'3-1.標準報酬月額・保険料表'!$N$8:$O$57,2,TRUE)))</f>
        <v>110000</v>
      </c>
      <c r="N15" s="187">
        <f t="shared" ref="N15:N44" si="3">IF($D$4="",0,ROUNDDOWN($M$6,-3))</f>
        <v>0</v>
      </c>
      <c r="O15" s="94">
        <f t="shared" ref="O15:O44" si="4">IF($D$4="",0,ROUND($N15/12,0))</f>
        <v>0</v>
      </c>
      <c r="P15" s="187">
        <f t="shared" ref="P15:P44" si="5">IF($D$4="","",IF($I15="",0,$I15+$L$6))</f>
        <v>107675</v>
      </c>
      <c r="Q15" s="61">
        <f>IF($D$4="",0,IF($G15&lt;20,0,IF($Q$13="",0,IF($Q$13=2,0,IF($P15&lt;$R$13,0,IF($M15&lt;=620000,VLOOKUP($M15,'3-1.標準報酬月額・保険料表'!$D$8:$L$42,9,FALSE),'3-1.標準報酬月額・保険料表'!$L$42)+ROUNDDOWN($O15*$W$7,0))))))</f>
        <v>10065</v>
      </c>
      <c r="R15" s="50">
        <f>IF($D$4="",0,IF($G15&lt;20,0,IF($O$9="",0,IF($Q$13=2,0,IF($D$10&gt;=$S$13,0,IF($P15&lt;$R$13,0,VLOOKUP($M15,'3-1.標準報酬月額・保険料表'!$D$8:$J$57,6,FALSE)+ROUNDDOWN($O15*$T$7,0)))))))</f>
        <v>5659.5</v>
      </c>
      <c r="S15" s="50">
        <f>IF($D$4="",0,IF($G15&lt;20,0,IF($Q$13="",0,IF($Q$13=2,0,IF($D$10&lt;$S$13,0,IF($P15&lt;$R$13,0,VLOOKUP($M15,'3-1.標準報酬月額・保険料表'!$D$8:$J$57,7,FALSE)+ROUNDDOWN($O15*$U$7,0)))))))</f>
        <v>0</v>
      </c>
      <c r="T15" s="66">
        <f>SUM($Q15:$S15)</f>
        <v>15724.5</v>
      </c>
      <c r="U15" s="71">
        <f>IF($D$4="",0,IF($U$13="",0,IF($U$13=1,0,IF($G15&lt;$W$13,0,IF($K15&lt;$V$13,0,IF($M15&lt;=620000,VLOOKUP($M15,'3-1.標準報酬月額・保険料表'!$D$8:$L$42,9,FALSE),'3-1.標準報酬月額・保険料表'!$L$42)+ROUNDDOWN($O15*$W$7,0))))))</f>
        <v>0</v>
      </c>
      <c r="V15" s="72">
        <f>IF($D$4="",0,IF($U$13="",0,IF($U$13=1,0,IF($G15&lt;$W$13,0,IF($K15&lt;$V$13,0,IF($D$10&gt;=$X$13,0,VLOOKUP($M15,'3-1.標準報酬月額・保険料表'!$D$8:$J$57,6,FALSE)+ROUNDDOWN($O15*$T$7,0)))))))</f>
        <v>0</v>
      </c>
      <c r="W15" s="72">
        <f>IF($D$4="",0,IF($U$13="",0,IF($U$13=1,0,IF($G15&lt;$W$13,0,IF($K15&lt;$V$13,0,IF($D$10&lt;$X$13,0,VLOOKUP($M15,'3-1.標準報酬月額・保険料表'!$D$8:$J$57,7,FALSE)+ROUNDDOWN($O15*$U$7,0)))))))</f>
        <v>0</v>
      </c>
      <c r="X15" s="73">
        <f>SUM($U15:$W15)</f>
        <v>0</v>
      </c>
      <c r="Y15" s="63">
        <f t="shared" ref="Y15:Y44" si="6">IF($D$4="",0,IF($G15&lt;$Y$11,0,$K15*$Y$13))</f>
        <v>7896.6</v>
      </c>
      <c r="Z15" s="68">
        <f>IF($D$4="",0,($T15+$X15)*12)+$Y15</f>
        <v>196590.6</v>
      </c>
      <c r="AA15" s="152">
        <f>IF($D$4="","",VLOOKUP($K15,'3-2.所得算出参照表'!K$5:L$10,2,TRUE))</f>
        <v>1625000</v>
      </c>
      <c r="AB15" s="153">
        <f>IF($AA15="",0,IF($AA15='3-2.所得算出参照表'!$B$5,'3-2.所得算出参照表'!$E$5,IF('4-3.手当等支給メニュー (３年目or２年目)'!$AA15='3-2.所得算出参照表'!$B$6,'4-3.手当等支給メニュー (３年目or２年目)'!$K15*'3-2.所得算出参照表'!$E$6+'3-2.所得算出参照表'!$G$6,IF('4-3.手当等支給メニュー (３年目or２年目)'!$AA15='3-2.所得算出参照表'!$B$7,'4-3.手当等支給メニュー (３年目or２年目)'!$K15*'3-2.所得算出参照表'!$E$7+'3-2.所得算出参照表'!$G$7,IF('4-3.手当等支給メニュー (３年目or２年目)'!$AA15='3-2.所得算出参照表'!$B$8,'4-3.手当等支給メニュー (３年目or２年目)'!$K15*'3-2.所得算出参照表'!$E$8+'3-2.所得算出参照表'!$G$8,IF('4-3.手当等支給メニュー (３年目or２年目)'!$AA15='3-2.所得算出参照表'!$B$9,'4-3.手当等支給メニュー (３年目or２年目)'!$K15*'3-2.所得算出参照表'!$E$9+'3-2.所得算出参照表'!$G$9,IF($AA15='3-2.所得算出参照表'!$B$10,'3-2.所得算出参照表'!$G$10)))))))</f>
        <v>550000</v>
      </c>
      <c r="AC15" s="115">
        <f t="shared" ref="AC15:AC44" si="7">IF($D$4="","",$AC$13)</f>
        <v>480000</v>
      </c>
      <c r="AD15" s="110">
        <f t="shared" ref="AD15:AD44" si="8">IF($AA15="",0,IF(ROUNDDOWN($K15-$Z15-$AB15-$AC15,-3)&lt;=0,0,ROUNDDOWN($K15-$Z15-$AB15-$AC15,-3)))</f>
        <v>89000</v>
      </c>
      <c r="AE15" s="154">
        <f>VLOOKUP($AD15,'3-2.所得算出参照表'!$N$4:$O$11,2,TRUE)</f>
        <v>0.05</v>
      </c>
      <c r="AF15" s="110">
        <f>VLOOKUP($AD15,'3-2.所得算出参照表'!$P$4:$Q$11,2,TRUE)</f>
        <v>0</v>
      </c>
      <c r="AG15" s="110">
        <f>$AD15*AE15-$AF15</f>
        <v>4450</v>
      </c>
      <c r="AH15" s="110">
        <f>$AG15*'3-2.所得算出参照表'!$D$14</f>
        <v>93.45</v>
      </c>
      <c r="AI15" s="123">
        <f>ROUNDDOWN($AG15+$AH15,-2)</f>
        <v>4500</v>
      </c>
      <c r="AJ15" s="132">
        <f>IF($AA15="",0,IF($AA15='3-2.所得算出参照表'!$B$5,'3-2.所得算出参照表'!$E$5,IF('4-3.手当等支給メニュー (３年目or２年目)'!$AA15='3-2.所得算出参照表'!$B$6,'4-3.手当等支給メニュー (３年目or２年目)'!$K15*'3-2.所得算出参照表'!$E$6+'3-2.所得算出参照表'!$G$6,IF('4-3.手当等支給メニュー (３年目or２年目)'!$AA15='3-2.所得算出参照表'!$B$7,'4-3.手当等支給メニュー (３年目or２年目)'!$K15*'3-2.所得算出参照表'!$E$7+'3-2.所得算出参照表'!$G$7,IF('4-3.手当等支給メニュー (３年目or２年目)'!$AA15='3-2.所得算出参照表'!$B$8,'4-3.手当等支給メニュー (３年目or２年目)'!$K15*'3-2.所得算出参照表'!$E$8+'3-2.所得算出参照表'!$G$8,IF('4-3.手当等支給メニュー (３年目or２年目)'!$AA15='3-2.所得算出参照表'!$B$9,'4-3.手当等支給メニュー (３年目or２年目)'!$K15*'3-2.所得算出参照表'!$E$9+'3-2.所得算出参照表'!$G$9,IF($AA15='3-2.所得算出参照表'!$B$10,'3-2.所得算出参照表'!$G$10)))))))</f>
        <v>550000</v>
      </c>
      <c r="AK15" s="72">
        <f t="shared" ref="AK15:AK44" si="9">IF($D$4="","",$AK$13)</f>
        <v>430000</v>
      </c>
      <c r="AL15" s="120">
        <f t="shared" ref="AL15:AL44" si="10">IF($D$4="",0,IF(ROUNDDOWN($K15-$Z15-$AJ15-$AK15,-3)&lt;=0,0,ROUNDDOWN($K15-$Z15-$AJ15-$AK15,-3)))</f>
        <v>139000</v>
      </c>
      <c r="AM15" s="120">
        <f t="shared" ref="AM15:AM44" si="11">IF($D$4="",0,IF($K15&lt;$AL$7,0,$AM$13))</f>
        <v>5500</v>
      </c>
      <c r="AN15" s="121">
        <f t="shared" ref="AN15:AN44" si="12">IF($D$4="",0,IF($K15&lt;$AM$7,0,$AN$13))</f>
        <v>0.1</v>
      </c>
      <c r="AO15" s="128">
        <f>IF($AL15*$AN$13=0,0,$AL15*$AN$13-IF($AL15&lt;=$AO$13,($AC15-$AK15)*0.05,IF($AL15&gt;$AO$13,IF($AL15&gt;$AO$13,($AC15-$AK15)-($AL15-$AO$13)*0.05)))+$AM15)</f>
        <v>16900</v>
      </c>
      <c r="AP15" s="144">
        <f t="shared" ref="AP15:AP44" si="13">$K15-$Z15-$AI15-$AO15</f>
        <v>1098109.3999999999</v>
      </c>
      <c r="AW15" s="224" t="s">
        <v>234</v>
      </c>
      <c r="AX15" s="997" t="s">
        <v>235</v>
      </c>
      <c r="AY15" s="997"/>
      <c r="AZ15" s="215">
        <v>20</v>
      </c>
    </row>
    <row r="16" spans="2:52" ht="21.95" customHeight="1" x14ac:dyDescent="0.15">
      <c r="B16" s="100">
        <v>2</v>
      </c>
      <c r="C16" s="486">
        <f t="shared" ref="C16:C44" si="14">IF($D$4="","",IF($G16&lt;=0,0,IF($F16="","",$D$9+$C$13)))</f>
        <v>1000</v>
      </c>
      <c r="D16" s="489">
        <f t="shared" ref="D16:D44" si="15">IF($C16="","",IF($F16&lt;0,0,IF($F16&gt;4,0,VLOOKUP($F16,$F$8:$H$12,3,0))))</f>
        <v>0.15</v>
      </c>
      <c r="E16" s="488">
        <f t="shared" ref="E16:E44" si="16">IF($C16="","",$C16*(1+$D16))</f>
        <v>1150</v>
      </c>
      <c r="F16" s="446">
        <f>IF($G15&gt;=35,"",$F15+1)</f>
        <v>1</v>
      </c>
      <c r="G16" s="380">
        <f>IF($F16="","",IF($G$15+$F16&gt;35,0,$G$15+$F16))</f>
        <v>22</v>
      </c>
      <c r="H16" s="198">
        <f t="shared" si="0"/>
        <v>1147.1428571428571</v>
      </c>
      <c r="I16" s="97">
        <f t="shared" si="1"/>
        <v>109934.5238095238</v>
      </c>
      <c r="J16" s="91">
        <f t="shared" ref="J16:J44" si="17">IF($D$4="",0,IF($I16=0,0,$I16+$J$6))</f>
        <v>111934.5238095238</v>
      </c>
      <c r="K16" s="98">
        <f t="shared" si="2"/>
        <v>1343214.2857142857</v>
      </c>
      <c r="L16" s="93">
        <f t="shared" ref="L16:L44" si="18">IF($D$4="",0,IF($I16=0,0,$I16+$K$6))</f>
        <v>114434.5238095238</v>
      </c>
      <c r="M16" s="94">
        <f>IF($D$4="",0,IF($L16=0,0,VLOOKUP($L16,'3-1.標準報酬月額・保険料表'!$N$8:$O$57,2,TRUE)))</f>
        <v>118000</v>
      </c>
      <c r="N16" s="187">
        <f t="shared" si="3"/>
        <v>0</v>
      </c>
      <c r="O16" s="94">
        <f t="shared" si="4"/>
        <v>0</v>
      </c>
      <c r="P16" s="187">
        <f t="shared" si="5"/>
        <v>109934.5238095238</v>
      </c>
      <c r="Q16" s="61">
        <f>IF($D$4="",0,IF($G16&lt;20,0,IF($Q$13="",0,IF($Q$13=2,0,IF($P16&lt;$R$13,0,IF($M16&lt;=620000,VLOOKUP($M16,'3-1.標準報酬月額・保険料表'!$D$8:$L$42,9,FALSE),'3-1.標準報酬月額・保険料表'!$L$42)+ROUNDDOWN($O16*$W$7,0))))))</f>
        <v>10797</v>
      </c>
      <c r="R16" s="50">
        <f>IF($D$4="",0,IF($G16&lt;20,0,IF($O$9="",0,IF($Q$13=2,0,IF($D$10&gt;=$S$13,0,IF($P16&lt;$R$13,0,VLOOKUP($M16,'3-1.標準報酬月額・保険料表'!$D$8:$J$57,6,FALSE)+ROUNDDOWN($O16*$T$7,0)))))))</f>
        <v>6071.1</v>
      </c>
      <c r="S16" s="50">
        <f>IF($D$4="",0,IF($G16&lt;20,0,IF($Q$13="",0,IF($Q$13=2,0,IF($D$10&lt;$S$13,0,IF($P16&lt;$R$13,0,VLOOKUP($M16,'3-1.標準報酬月額・保険料表'!$D$8:$J$57,7,FALSE)+ROUNDDOWN($O16*$U$7,0)))))))</f>
        <v>0</v>
      </c>
      <c r="T16" s="66">
        <f t="shared" ref="T16:T44" si="19">SUM($Q16:$S16)</f>
        <v>16868.099999999999</v>
      </c>
      <c r="U16" s="71">
        <f>IF($D$4="",0,IF($U$13="",0,IF($U$13=1,0,IF($G16&lt;$W$13,0,IF($K16&lt;$V$13,0,IF($M16&lt;=620000,VLOOKUP($M16,'3-1.標準報酬月額・保険料表'!$D$8:$L$42,9,FALSE),'3-1.標準報酬月額・保険料表'!$L$42)+ROUNDDOWN($O16*$W$7,0))))))</f>
        <v>0</v>
      </c>
      <c r="V16" s="72">
        <f>IF($D$4="",0,IF($U$13="",0,IF($U$13=1,0,IF($G16&lt;$W$13,0,IF($K16&lt;$V$13,0,IF($D$10&gt;=$X$13,0,VLOOKUP($M16,'3-1.標準報酬月額・保険料表'!$D$8:$J$57,6,FALSE)+ROUNDDOWN($O16*$T$7,0)))))))</f>
        <v>0</v>
      </c>
      <c r="W16" s="72">
        <f>IF($D$4="",0,IF($U$13="",0,IF($U$13=1,0,IF($G16&lt;$W$13,0,IF($K16&lt;$V$13,0,IF($D$10&lt;$X$13,0,VLOOKUP($M16,'3-1.標準報酬月額・保険料表'!$D$8:$J$57,7,FALSE)+ROUNDDOWN($O16*$U$7,0)))))))</f>
        <v>0</v>
      </c>
      <c r="X16" s="73">
        <f t="shared" ref="X16:X44" si="20">SUM($U16:$W16)</f>
        <v>0</v>
      </c>
      <c r="Y16" s="63">
        <f t="shared" si="6"/>
        <v>8059.2857142857147</v>
      </c>
      <c r="Z16" s="68">
        <f t="shared" ref="Z16:Z44" si="21">IF($D$4="",0,($T16+$X16)*12)+$Y16</f>
        <v>210476.48571428569</v>
      </c>
      <c r="AA16" s="152">
        <f>IF($D$4="","",VLOOKUP($K16,'3-2.所得算出参照表'!K$5:L$10,2,TRUE))</f>
        <v>1625000</v>
      </c>
      <c r="AB16" s="153">
        <f>IF($AA16="",0,IF($AA16='3-2.所得算出参照表'!$B$5,'3-2.所得算出参照表'!$E$5,IF('4-3.手当等支給メニュー (３年目or２年目)'!$AA16='3-2.所得算出参照表'!$B$6,'4-3.手当等支給メニュー (３年目or２年目)'!$K16*'3-2.所得算出参照表'!$E$6+'3-2.所得算出参照表'!$G$6,IF('4-3.手当等支給メニュー (３年目or２年目)'!$AA16='3-2.所得算出参照表'!$B$7,'4-3.手当等支給メニュー (３年目or２年目)'!$K16*'3-2.所得算出参照表'!$E$7+'3-2.所得算出参照表'!$G$7,IF('4-3.手当等支給メニュー (３年目or２年目)'!$AA16='3-2.所得算出参照表'!$B$8,'4-3.手当等支給メニュー (３年目or２年目)'!$K16*'3-2.所得算出参照表'!$E$8+'3-2.所得算出参照表'!$G$8,IF('4-3.手当等支給メニュー (３年目or２年目)'!$AA16='3-2.所得算出参照表'!$B$9,'4-3.手当等支給メニュー (３年目or２年目)'!$K16*'3-2.所得算出参照表'!$E$9+'3-2.所得算出参照表'!$G$9,IF($AA16='3-2.所得算出参照表'!$B$10,'3-2.所得算出参照表'!$G$10)))))))</f>
        <v>550000</v>
      </c>
      <c r="AC16" s="115">
        <f t="shared" si="7"/>
        <v>480000</v>
      </c>
      <c r="AD16" s="110">
        <f t="shared" si="8"/>
        <v>102000</v>
      </c>
      <c r="AE16" s="155">
        <f>VLOOKUP($AD16,'3-2.所得算出参照表'!$N$4:$O$11,2,TRUE)</f>
        <v>0.05</v>
      </c>
      <c r="AF16" s="110">
        <f>VLOOKUP($AD16,'3-2.所得算出参照表'!$P$4:$Q$11,2,TRUE)</f>
        <v>0</v>
      </c>
      <c r="AG16" s="110">
        <f t="shared" ref="AG16:AG21" si="22">$AD16*AE16-$AF16</f>
        <v>5100</v>
      </c>
      <c r="AH16" s="110">
        <f>$AG16*'3-2.所得算出参照表'!$D$14</f>
        <v>107.10000000000001</v>
      </c>
      <c r="AI16" s="124">
        <f t="shared" ref="AI16:AI21" si="23">ROUNDDOWN($AG16+$AH16,-2)</f>
        <v>5200</v>
      </c>
      <c r="AJ16" s="132">
        <f>IF($AA16="",0,IF($AA16='3-2.所得算出参照表'!$B$5,'3-2.所得算出参照表'!$E$5,IF('4-3.手当等支給メニュー (３年目or２年目)'!$AA16='3-2.所得算出参照表'!$B$6,'4-3.手当等支給メニュー (３年目or２年目)'!$K16*'3-2.所得算出参照表'!$E$6+'3-2.所得算出参照表'!$G$6,IF('4-3.手当等支給メニュー (３年目or２年目)'!$AA16='3-2.所得算出参照表'!$B$7,'4-3.手当等支給メニュー (３年目or２年目)'!$K16*'3-2.所得算出参照表'!$E$7+'3-2.所得算出参照表'!$G$7,IF('4-3.手当等支給メニュー (３年目or２年目)'!$AA16='3-2.所得算出参照表'!$B$8,'4-3.手当等支給メニュー (３年目or２年目)'!$K16*'3-2.所得算出参照表'!$E$8+'3-2.所得算出参照表'!$G$8,IF('4-3.手当等支給メニュー (３年目or２年目)'!$AA16='3-2.所得算出参照表'!$B$9,'4-3.手当等支給メニュー (３年目or２年目)'!$K16*'3-2.所得算出参照表'!$E$9+'3-2.所得算出参照表'!$G$9,IF($AA16='3-2.所得算出参照表'!$B$10,'3-2.所得算出参照表'!$G$10)))))))</f>
        <v>550000</v>
      </c>
      <c r="AK16" s="72">
        <f t="shared" si="9"/>
        <v>430000</v>
      </c>
      <c r="AL16" s="120">
        <f t="shared" si="10"/>
        <v>152000</v>
      </c>
      <c r="AM16" s="120">
        <f t="shared" si="11"/>
        <v>5500</v>
      </c>
      <c r="AN16" s="121">
        <f t="shared" si="12"/>
        <v>0.1</v>
      </c>
      <c r="AO16" s="128">
        <f t="shared" ref="AO16:AO43" si="24">IF($AL16*$AN$13=0,0,$AL16*$AN$13-IF($AL16&lt;=$AO$13,($AC16-$AK16)*0.05,IF($AL16&gt;$AO$13,IF($AL16&gt;$AO$13,($AC16-$AK16)-($AL16-$AO$13)*0.05)))+$AM16)</f>
        <v>18200</v>
      </c>
      <c r="AP16" s="145">
        <f t="shared" si="13"/>
        <v>1109337.8</v>
      </c>
      <c r="AW16" s="224" t="s">
        <v>268</v>
      </c>
      <c r="AX16" s="997" t="s">
        <v>269</v>
      </c>
      <c r="AY16" s="997"/>
      <c r="AZ16" s="215">
        <v>40</v>
      </c>
    </row>
    <row r="17" spans="2:42" ht="21.95" customHeight="1" x14ac:dyDescent="0.15">
      <c r="B17" s="101">
        <v>3</v>
      </c>
      <c r="C17" s="486">
        <f t="shared" si="14"/>
        <v>1000</v>
      </c>
      <c r="D17" s="489">
        <f t="shared" si="15"/>
        <v>0.1</v>
      </c>
      <c r="E17" s="488">
        <f t="shared" si="16"/>
        <v>1100</v>
      </c>
      <c r="F17" s="447">
        <f t="shared" ref="F17:F44" si="25">IF($G16&gt;=35,"",$F16+1)</f>
        <v>2</v>
      </c>
      <c r="G17" s="85">
        <f t="shared" ref="G17:G44" si="26">IF($F17="","",IF($G$15+$F17&gt;35,0,$G$15+$F17))</f>
        <v>23</v>
      </c>
      <c r="H17" s="198">
        <f t="shared" si="0"/>
        <v>1199.2857142857142</v>
      </c>
      <c r="I17" s="97">
        <f t="shared" si="1"/>
        <v>109934.5238095238</v>
      </c>
      <c r="J17" s="91">
        <f t="shared" si="17"/>
        <v>111934.5238095238</v>
      </c>
      <c r="K17" s="98">
        <f t="shared" si="2"/>
        <v>1343214.2857142857</v>
      </c>
      <c r="L17" s="93">
        <f t="shared" si="18"/>
        <v>114434.5238095238</v>
      </c>
      <c r="M17" s="94">
        <f>IF($D$4="",0,IF($L17=0,0,VLOOKUP($L17,'3-1.標準報酬月額・保険料表'!$N$8:$O$57,2,TRUE)))</f>
        <v>118000</v>
      </c>
      <c r="N17" s="187">
        <f t="shared" si="3"/>
        <v>0</v>
      </c>
      <c r="O17" s="94">
        <f t="shared" si="4"/>
        <v>0</v>
      </c>
      <c r="P17" s="187">
        <f t="shared" si="5"/>
        <v>109934.5238095238</v>
      </c>
      <c r="Q17" s="61">
        <f>IF($D$4="",0,IF($G17&lt;20,0,IF($Q$13="",0,IF($Q$13=2,0,IF($P17&lt;$R$13,0,IF($M17&lt;=620000,VLOOKUP($M17,'3-1.標準報酬月額・保険料表'!$D$8:$L$42,9,FALSE),'3-1.標準報酬月額・保険料表'!$L$42)+ROUNDDOWN($O17*$W$7,0))))))</f>
        <v>10797</v>
      </c>
      <c r="R17" s="50">
        <f>IF($D$4="",0,IF($G17&lt;20,0,IF($O$9="",0,IF($Q$13=2,0,IF($D$10&gt;=$S$13,0,IF($P17&lt;$R$13,0,VLOOKUP($M17,'3-1.標準報酬月額・保険料表'!$D$8:$J$57,6,FALSE)+ROUNDDOWN($O17*$T$7,0)))))))</f>
        <v>6071.1</v>
      </c>
      <c r="S17" s="50">
        <f>IF($D$4="",0,IF($G17&lt;20,0,IF($Q$13="",0,IF($Q$13=2,0,IF($D$10&lt;$S$13,0,IF($P17&lt;$R$13,0,VLOOKUP($M17,'3-1.標準報酬月額・保険料表'!$D$8:$J$57,7,FALSE)+ROUNDDOWN($O17*$U$7,0)))))))</f>
        <v>0</v>
      </c>
      <c r="T17" s="66">
        <f t="shared" si="19"/>
        <v>16868.099999999999</v>
      </c>
      <c r="U17" s="71">
        <f>IF($D$4="",0,IF($U$13="",0,IF($U$13=1,0,IF($G17&lt;$W$13,0,IF($K17&lt;$V$13,0,IF($M17&lt;=620000,VLOOKUP($M17,'3-1.標準報酬月額・保険料表'!$D$8:$L$42,9,FALSE),'3-1.標準報酬月額・保険料表'!$L$42)+ROUNDDOWN($O17*$W$7,0))))))</f>
        <v>0</v>
      </c>
      <c r="V17" s="72">
        <f>IF($D$4="",0,IF($U$13="",0,IF($U$13=1,0,IF($G17&lt;$W$13,0,IF($K17&lt;$V$13,0,IF($D$10&gt;=$X$13,0,VLOOKUP($M17,'3-1.標準報酬月額・保険料表'!$D$8:$J$57,6,FALSE)+ROUNDDOWN($O17*$T$7,0)))))))</f>
        <v>0</v>
      </c>
      <c r="W17" s="72">
        <f>IF($D$4="",0,IF($U$13="",0,IF($U$13=1,0,IF($G17&lt;$W$13,0,IF($K17&lt;$V$13,0,IF($D$10&lt;$X$13,0,VLOOKUP($M17,'3-1.標準報酬月額・保険料表'!$D$8:$J$57,7,FALSE)+ROUNDDOWN($O17*$U$7,0)))))))</f>
        <v>0</v>
      </c>
      <c r="X17" s="73">
        <f t="shared" si="20"/>
        <v>0</v>
      </c>
      <c r="Y17" s="63">
        <f t="shared" si="6"/>
        <v>8059.2857142857147</v>
      </c>
      <c r="Z17" s="68">
        <f t="shared" si="21"/>
        <v>210476.48571428569</v>
      </c>
      <c r="AA17" s="152">
        <f>IF($D$4="","",VLOOKUP($K17,'3-2.所得算出参照表'!K$5:L$10,2,TRUE))</f>
        <v>1625000</v>
      </c>
      <c r="AB17" s="153">
        <f>IF($AA17="",0,IF($AA17='3-2.所得算出参照表'!$B$5,'3-2.所得算出参照表'!$E$5,IF('4-3.手当等支給メニュー (３年目or２年目)'!$AA17='3-2.所得算出参照表'!$B$6,'4-3.手当等支給メニュー (３年目or２年目)'!$K17*'3-2.所得算出参照表'!$E$6+'3-2.所得算出参照表'!$G$6,IF('4-3.手当等支給メニュー (３年目or２年目)'!$AA17='3-2.所得算出参照表'!$B$7,'4-3.手当等支給メニュー (３年目or２年目)'!$K17*'3-2.所得算出参照表'!$E$7+'3-2.所得算出参照表'!$G$7,IF('4-3.手当等支給メニュー (３年目or２年目)'!$AA17='3-2.所得算出参照表'!$B$8,'4-3.手当等支給メニュー (３年目or２年目)'!$K17*'3-2.所得算出参照表'!$E$8+'3-2.所得算出参照表'!$G$8,IF('4-3.手当等支給メニュー (３年目or２年目)'!$AA17='3-2.所得算出参照表'!$B$9,'4-3.手当等支給メニュー (３年目or２年目)'!$K17*'3-2.所得算出参照表'!$E$9+'3-2.所得算出参照表'!$G$9,IF($AA17='3-2.所得算出参照表'!$B$10,'3-2.所得算出参照表'!$G$10)))))))</f>
        <v>550000</v>
      </c>
      <c r="AC17" s="115">
        <f t="shared" si="7"/>
        <v>480000</v>
      </c>
      <c r="AD17" s="110">
        <f t="shared" si="8"/>
        <v>102000</v>
      </c>
      <c r="AE17" s="155">
        <f>VLOOKUP($AD17,'3-2.所得算出参照表'!$N$4:$O$11,2,TRUE)</f>
        <v>0.05</v>
      </c>
      <c r="AF17" s="110">
        <f>VLOOKUP($AD17,'3-2.所得算出参照表'!$P$4:$Q$11,2,TRUE)</f>
        <v>0</v>
      </c>
      <c r="AG17" s="110">
        <f t="shared" si="22"/>
        <v>5100</v>
      </c>
      <c r="AH17" s="110">
        <f>$AG17*'3-2.所得算出参照表'!$D$14</f>
        <v>107.10000000000001</v>
      </c>
      <c r="AI17" s="124">
        <f t="shared" si="23"/>
        <v>5200</v>
      </c>
      <c r="AJ17" s="132">
        <f>IF($AA17="",0,IF($AA17='3-2.所得算出参照表'!$B$5,'3-2.所得算出参照表'!$E$5,IF('4-3.手当等支給メニュー (３年目or２年目)'!$AA17='3-2.所得算出参照表'!$B$6,'4-3.手当等支給メニュー (３年目or２年目)'!$K17*'3-2.所得算出参照表'!$E$6+'3-2.所得算出参照表'!$G$6,IF('4-3.手当等支給メニュー (３年目or２年目)'!$AA17='3-2.所得算出参照表'!$B$7,'4-3.手当等支給メニュー (３年目or２年目)'!$K17*'3-2.所得算出参照表'!$E$7+'3-2.所得算出参照表'!$G$7,IF('4-3.手当等支給メニュー (３年目or２年目)'!$AA17='3-2.所得算出参照表'!$B$8,'4-3.手当等支給メニュー (３年目or２年目)'!$K17*'3-2.所得算出参照表'!$E$8+'3-2.所得算出参照表'!$G$8,IF('4-3.手当等支給メニュー (３年目or２年目)'!$AA17='3-2.所得算出参照表'!$B$9,'4-3.手当等支給メニュー (３年目or２年目)'!$K17*'3-2.所得算出参照表'!$E$9+'3-2.所得算出参照表'!$G$9,IF($AA17='3-2.所得算出参照表'!$B$10,'3-2.所得算出参照表'!$G$10)))))))</f>
        <v>550000</v>
      </c>
      <c r="AK17" s="72">
        <f t="shared" si="9"/>
        <v>430000</v>
      </c>
      <c r="AL17" s="120">
        <f t="shared" si="10"/>
        <v>152000</v>
      </c>
      <c r="AM17" s="120">
        <f t="shared" si="11"/>
        <v>5500</v>
      </c>
      <c r="AN17" s="121">
        <f t="shared" si="12"/>
        <v>0.1</v>
      </c>
      <c r="AO17" s="128">
        <f t="shared" si="24"/>
        <v>18200</v>
      </c>
      <c r="AP17" s="145">
        <f t="shared" si="13"/>
        <v>1109337.8</v>
      </c>
    </row>
    <row r="18" spans="2:42" ht="21.95" customHeight="1" x14ac:dyDescent="0.15">
      <c r="B18" s="100">
        <v>4</v>
      </c>
      <c r="C18" s="486">
        <f t="shared" si="14"/>
        <v>1000</v>
      </c>
      <c r="D18" s="489">
        <f t="shared" si="15"/>
        <v>0.05</v>
      </c>
      <c r="E18" s="488">
        <f t="shared" si="16"/>
        <v>1050</v>
      </c>
      <c r="F18" s="447">
        <f t="shared" si="25"/>
        <v>3</v>
      </c>
      <c r="G18" s="85">
        <f t="shared" si="26"/>
        <v>24</v>
      </c>
      <c r="H18" s="198">
        <f t="shared" si="0"/>
        <v>1251.4285714285713</v>
      </c>
      <c r="I18" s="97">
        <f t="shared" si="1"/>
        <v>109500</v>
      </c>
      <c r="J18" s="91">
        <f t="shared" si="17"/>
        <v>111500</v>
      </c>
      <c r="K18" s="98">
        <f t="shared" si="2"/>
        <v>1338000</v>
      </c>
      <c r="L18" s="93">
        <f t="shared" si="18"/>
        <v>114000</v>
      </c>
      <c r="M18" s="94">
        <f>IF($D$4="",0,IF($L18=0,0,VLOOKUP($L18,'3-1.標準報酬月額・保険料表'!$N$8:$O$57,2,TRUE)))</f>
        <v>118000</v>
      </c>
      <c r="N18" s="187">
        <f t="shared" si="3"/>
        <v>0</v>
      </c>
      <c r="O18" s="94">
        <f t="shared" si="4"/>
        <v>0</v>
      </c>
      <c r="P18" s="187">
        <f t="shared" si="5"/>
        <v>109500</v>
      </c>
      <c r="Q18" s="61">
        <f>IF($D$4="",0,IF($G18&lt;20,0,IF($Q$13="",0,IF($Q$13=2,0,IF($P18&lt;$R$13,0,IF($M18&lt;=620000,VLOOKUP($M18,'3-1.標準報酬月額・保険料表'!$D$8:$L$42,9,FALSE),'3-1.標準報酬月額・保険料表'!$L$42)+ROUNDDOWN($O18*$W$7,0))))))</f>
        <v>10797</v>
      </c>
      <c r="R18" s="50">
        <f>IF($D$4="",0,IF($G18&lt;20,0,IF($O$9="",0,IF($Q$13=2,0,IF($D$10&gt;=$S$13,0,IF($P18&lt;$R$13,0,VLOOKUP($M18,'3-1.標準報酬月額・保険料表'!$D$8:$J$57,6,FALSE)+ROUNDDOWN($O18*$T$7,0)))))))</f>
        <v>6071.1</v>
      </c>
      <c r="S18" s="50">
        <f>IF($D$4="",0,IF($G18&lt;20,0,IF($Q$13="",0,IF($Q$13=2,0,IF($D$10&lt;$S$13,0,IF($P18&lt;$R$13,0,VLOOKUP($M18,'3-1.標準報酬月額・保険料表'!$D$8:$J$57,7,FALSE)+ROUNDDOWN($O18*$U$7,0)))))))</f>
        <v>0</v>
      </c>
      <c r="T18" s="66">
        <f t="shared" si="19"/>
        <v>16868.099999999999</v>
      </c>
      <c r="U18" s="71">
        <f>IF($D$4="",0,IF($U$13="",0,IF($U$13=1,0,IF($G18&lt;$W$13,0,IF($K18&lt;$V$13,0,IF($M18&lt;=620000,VLOOKUP($M18,'3-1.標準報酬月額・保険料表'!$D$8:$L$42,9,FALSE),'3-1.標準報酬月額・保険料表'!$L$42)+ROUNDDOWN($O18*$W$7,0))))))</f>
        <v>0</v>
      </c>
      <c r="V18" s="72">
        <f>IF($D$4="",0,IF($U$13="",0,IF($U$13=1,0,IF($G18&lt;$W$13,0,IF($K18&lt;$V$13,0,IF($D$10&gt;=$X$13,0,VLOOKUP($M18,'3-1.標準報酬月額・保険料表'!$D$8:$J$57,6,FALSE)+ROUNDDOWN($O18*$T$7,0)))))))</f>
        <v>0</v>
      </c>
      <c r="W18" s="72">
        <f>IF($D$4="",0,IF($U$13="",0,IF($U$13=1,0,IF($G18&lt;$W$13,0,IF($K18&lt;$V$13,0,IF($D$10&lt;$X$13,0,VLOOKUP($M18,'3-1.標準報酬月額・保険料表'!$D$8:$J$57,7,FALSE)+ROUNDDOWN($O18*$U$7,0)))))))</f>
        <v>0</v>
      </c>
      <c r="X18" s="73">
        <f t="shared" si="20"/>
        <v>0</v>
      </c>
      <c r="Y18" s="63">
        <f t="shared" si="6"/>
        <v>8028</v>
      </c>
      <c r="Z18" s="68">
        <f t="shared" si="21"/>
        <v>210445.19999999998</v>
      </c>
      <c r="AA18" s="152">
        <f>IF($D$4="","",VLOOKUP($K18,'3-2.所得算出参照表'!K$5:L$10,2,TRUE))</f>
        <v>1625000</v>
      </c>
      <c r="AB18" s="153">
        <f>IF($AA18="",0,IF($AA18='3-2.所得算出参照表'!$B$5,'3-2.所得算出参照表'!$E$5,IF('4-3.手当等支給メニュー (３年目or２年目)'!$AA18='3-2.所得算出参照表'!$B$6,'4-3.手当等支給メニュー (３年目or２年目)'!$K18*'3-2.所得算出参照表'!$E$6+'3-2.所得算出参照表'!$G$6,IF('4-3.手当等支給メニュー (３年目or２年目)'!$AA18='3-2.所得算出参照表'!$B$7,'4-3.手当等支給メニュー (３年目or２年目)'!$K18*'3-2.所得算出参照表'!$E$7+'3-2.所得算出参照表'!$G$7,IF('4-3.手当等支給メニュー (３年目or２年目)'!$AA18='3-2.所得算出参照表'!$B$8,'4-3.手当等支給メニュー (３年目or２年目)'!$K18*'3-2.所得算出参照表'!$E$8+'3-2.所得算出参照表'!$G$8,IF('4-3.手当等支給メニュー (３年目or２年目)'!$AA18='3-2.所得算出参照表'!$B$9,'4-3.手当等支給メニュー (３年目or２年目)'!$K18*'3-2.所得算出参照表'!$E$9+'3-2.所得算出参照表'!$G$9,IF($AA18='3-2.所得算出参照表'!$B$10,'3-2.所得算出参照表'!$G$10)))))))</f>
        <v>550000</v>
      </c>
      <c r="AC18" s="115">
        <f t="shared" si="7"/>
        <v>480000</v>
      </c>
      <c r="AD18" s="110">
        <f t="shared" si="8"/>
        <v>97000</v>
      </c>
      <c r="AE18" s="155">
        <f>VLOOKUP($AD18,'3-2.所得算出参照表'!$N$4:$O$11,2,TRUE)</f>
        <v>0.05</v>
      </c>
      <c r="AF18" s="110">
        <f>VLOOKUP($AD18,'3-2.所得算出参照表'!$P$4:$Q$11,2,TRUE)</f>
        <v>0</v>
      </c>
      <c r="AG18" s="110">
        <f t="shared" si="22"/>
        <v>4850</v>
      </c>
      <c r="AH18" s="110">
        <f>$AG18*'3-2.所得算出参照表'!$D$14</f>
        <v>101.85000000000001</v>
      </c>
      <c r="AI18" s="124">
        <f t="shared" si="23"/>
        <v>4900</v>
      </c>
      <c r="AJ18" s="132">
        <f>IF($AA18="",0,IF($AA18='3-2.所得算出参照表'!$B$5,'3-2.所得算出参照表'!$E$5,IF('4-3.手当等支給メニュー (３年目or２年目)'!$AA18='3-2.所得算出参照表'!$B$6,'4-3.手当等支給メニュー (３年目or２年目)'!$K18*'3-2.所得算出参照表'!$E$6+'3-2.所得算出参照表'!$G$6,IF('4-3.手当等支給メニュー (３年目or２年目)'!$AA18='3-2.所得算出参照表'!$B$7,'4-3.手当等支給メニュー (３年目or２年目)'!$K18*'3-2.所得算出参照表'!$E$7+'3-2.所得算出参照表'!$G$7,IF('4-3.手当等支給メニュー (３年目or２年目)'!$AA18='3-2.所得算出参照表'!$B$8,'4-3.手当等支給メニュー (３年目or２年目)'!$K18*'3-2.所得算出参照表'!$E$8+'3-2.所得算出参照表'!$G$8,IF('4-3.手当等支給メニュー (３年目or２年目)'!$AA18='3-2.所得算出参照表'!$B$9,'4-3.手当等支給メニュー (３年目or２年目)'!$K18*'3-2.所得算出参照表'!$E$9+'3-2.所得算出参照表'!$G$9,IF($AA18='3-2.所得算出参照表'!$B$10,'3-2.所得算出参照表'!$G$10)))))))</f>
        <v>550000</v>
      </c>
      <c r="AK18" s="72">
        <f t="shared" si="9"/>
        <v>430000</v>
      </c>
      <c r="AL18" s="120">
        <f t="shared" si="10"/>
        <v>147000</v>
      </c>
      <c r="AM18" s="120">
        <f t="shared" si="11"/>
        <v>5500</v>
      </c>
      <c r="AN18" s="121">
        <f t="shared" si="12"/>
        <v>0.1</v>
      </c>
      <c r="AO18" s="128">
        <f t="shared" si="24"/>
        <v>17700</v>
      </c>
      <c r="AP18" s="145">
        <f t="shared" si="13"/>
        <v>1104954.8</v>
      </c>
    </row>
    <row r="19" spans="2:42" ht="21.95" customHeight="1" x14ac:dyDescent="0.15">
      <c r="B19" s="101">
        <v>5</v>
      </c>
      <c r="C19" s="486">
        <f t="shared" si="14"/>
        <v>1000</v>
      </c>
      <c r="D19" s="489">
        <f t="shared" si="15"/>
        <v>0</v>
      </c>
      <c r="E19" s="488">
        <f t="shared" si="16"/>
        <v>1000</v>
      </c>
      <c r="F19" s="447">
        <f t="shared" si="25"/>
        <v>4</v>
      </c>
      <c r="G19" s="85">
        <f t="shared" si="26"/>
        <v>25</v>
      </c>
      <c r="H19" s="198">
        <f t="shared" si="0"/>
        <v>1303.5714285714287</v>
      </c>
      <c r="I19" s="97">
        <f t="shared" si="1"/>
        <v>108630.95238095238</v>
      </c>
      <c r="J19" s="91">
        <f t="shared" si="17"/>
        <v>110630.95238095238</v>
      </c>
      <c r="K19" s="98">
        <f t="shared" si="2"/>
        <v>1327571.4285714286</v>
      </c>
      <c r="L19" s="93">
        <f t="shared" si="18"/>
        <v>113130.95238095238</v>
      </c>
      <c r="M19" s="94">
        <f>IF($D$4="",0,IF($L19=0,0,VLOOKUP($L19,'3-1.標準報酬月額・保険料表'!$N$8:$O$57,2,TRUE)))</f>
        <v>110000</v>
      </c>
      <c r="N19" s="187">
        <f t="shared" si="3"/>
        <v>0</v>
      </c>
      <c r="O19" s="94">
        <f t="shared" si="4"/>
        <v>0</v>
      </c>
      <c r="P19" s="187">
        <f t="shared" si="5"/>
        <v>108630.95238095238</v>
      </c>
      <c r="Q19" s="61">
        <f>IF($D$4="",0,IF($G19&lt;20,0,IF($Q$13="",0,IF($Q$13=2,0,IF($P19&lt;$R$13,0,IF($M19&lt;=620000,VLOOKUP($M19,'3-1.標準報酬月額・保険料表'!$D$8:$L$42,9,FALSE),'3-1.標準報酬月額・保険料表'!$L$42)+ROUNDDOWN($O19*$W$7,0))))))</f>
        <v>10065</v>
      </c>
      <c r="R19" s="50">
        <f>IF($D$4="",0,IF($G19&lt;20,0,IF($O$9="",0,IF($Q$13=2,0,IF($D$10&gt;=$S$13,0,IF($P19&lt;$R$13,0,VLOOKUP($M19,'3-1.標準報酬月額・保険料表'!$D$8:$J$57,6,FALSE)+ROUNDDOWN($O19*$T$7,0)))))))</f>
        <v>5659.5</v>
      </c>
      <c r="S19" s="50">
        <f>IF($D$4="",0,IF($G19&lt;20,0,IF($Q$13="",0,IF($Q$13=2,0,IF($D$10&lt;$S$13,0,IF($P19&lt;$R$13,0,VLOOKUP($M19,'3-1.標準報酬月額・保険料表'!$D$8:$J$57,7,FALSE)+ROUNDDOWN($O19*$U$7,0)))))))</f>
        <v>0</v>
      </c>
      <c r="T19" s="66">
        <f t="shared" si="19"/>
        <v>15724.5</v>
      </c>
      <c r="U19" s="71">
        <f>IF($D$4="",0,IF($U$13="",0,IF($U$13=1,0,IF($G19&lt;$W$13,0,IF($K19&lt;$V$13,0,IF($M19&lt;=620000,VLOOKUP($M19,'3-1.標準報酬月額・保険料表'!$D$8:$L$42,9,FALSE),'3-1.標準報酬月額・保険料表'!$L$42)+ROUNDDOWN($O19*$W$7,0))))))</f>
        <v>0</v>
      </c>
      <c r="V19" s="72">
        <f>IF($D$4="",0,IF($U$13="",0,IF($U$13=1,0,IF($G19&lt;$W$13,0,IF($K19&lt;$V$13,0,IF($D$10&gt;=$X$13,0,VLOOKUP($M19,'3-1.標準報酬月額・保険料表'!$D$8:$J$57,6,FALSE)+ROUNDDOWN($O19*$T$7,0)))))))</f>
        <v>0</v>
      </c>
      <c r="W19" s="72">
        <f>IF($D$4="",0,IF($U$13="",0,IF($U$13=1,0,IF($G19&lt;$W$13,0,IF($K19&lt;$V$13,0,IF($D$10&lt;$X$13,0,VLOOKUP($M19,'3-1.標準報酬月額・保険料表'!$D$8:$J$57,7,FALSE)+ROUNDDOWN($O19*$U$7,0)))))))</f>
        <v>0</v>
      </c>
      <c r="X19" s="73">
        <f t="shared" si="20"/>
        <v>0</v>
      </c>
      <c r="Y19" s="63">
        <f t="shared" si="6"/>
        <v>7965.4285714285716</v>
      </c>
      <c r="Z19" s="68">
        <f t="shared" si="21"/>
        <v>196659.42857142858</v>
      </c>
      <c r="AA19" s="152">
        <f>IF($D$4="","",VLOOKUP($K19,'3-2.所得算出参照表'!K$5:L$10,2,TRUE))</f>
        <v>1625000</v>
      </c>
      <c r="AB19" s="153">
        <f>IF($AA19="",0,IF($AA19='3-2.所得算出参照表'!$B$5,'3-2.所得算出参照表'!$E$5,IF('4-3.手当等支給メニュー (３年目or２年目)'!$AA19='3-2.所得算出参照表'!$B$6,'4-3.手当等支給メニュー (３年目or２年目)'!$K19*'3-2.所得算出参照表'!$E$6+'3-2.所得算出参照表'!$G$6,IF('4-3.手当等支給メニュー (３年目or２年目)'!$AA19='3-2.所得算出参照表'!$B$7,'4-3.手当等支給メニュー (３年目or２年目)'!$K19*'3-2.所得算出参照表'!$E$7+'3-2.所得算出参照表'!$G$7,IF('4-3.手当等支給メニュー (３年目or２年目)'!$AA19='3-2.所得算出参照表'!$B$8,'4-3.手当等支給メニュー (３年目or２年目)'!$K19*'3-2.所得算出参照表'!$E$8+'3-2.所得算出参照表'!$G$8,IF('4-3.手当等支給メニュー (３年目or２年目)'!$AA19='3-2.所得算出参照表'!$B$9,'4-3.手当等支給メニュー (３年目or２年目)'!$K19*'3-2.所得算出参照表'!$E$9+'3-2.所得算出参照表'!$G$9,IF($AA19='3-2.所得算出参照表'!$B$10,'3-2.所得算出参照表'!$G$10)))))))</f>
        <v>550000</v>
      </c>
      <c r="AC19" s="115">
        <f t="shared" si="7"/>
        <v>480000</v>
      </c>
      <c r="AD19" s="110">
        <f t="shared" si="8"/>
        <v>100000</v>
      </c>
      <c r="AE19" s="155">
        <f>VLOOKUP($AD19,'3-2.所得算出参照表'!$N$4:$O$11,2,TRUE)</f>
        <v>0.05</v>
      </c>
      <c r="AF19" s="110">
        <f>VLOOKUP($AD19,'3-2.所得算出参照表'!$P$4:$Q$11,2,TRUE)</f>
        <v>0</v>
      </c>
      <c r="AG19" s="110">
        <f t="shared" si="22"/>
        <v>5000</v>
      </c>
      <c r="AH19" s="110">
        <f>$AG19*'3-2.所得算出参照表'!$D$14</f>
        <v>105</v>
      </c>
      <c r="AI19" s="124">
        <f t="shared" si="23"/>
        <v>5100</v>
      </c>
      <c r="AJ19" s="132">
        <f>IF($AA19="",0,IF($AA19='3-2.所得算出参照表'!$B$5,'3-2.所得算出参照表'!$E$5,IF('4-3.手当等支給メニュー (３年目or２年目)'!$AA19='3-2.所得算出参照表'!$B$6,'4-3.手当等支給メニュー (３年目or２年目)'!$K19*'3-2.所得算出参照表'!$E$6+'3-2.所得算出参照表'!$G$6,IF('4-3.手当等支給メニュー (３年目or２年目)'!$AA19='3-2.所得算出参照表'!$B$7,'4-3.手当等支給メニュー (３年目or２年目)'!$K19*'3-2.所得算出参照表'!$E$7+'3-2.所得算出参照表'!$G$7,IF('4-3.手当等支給メニュー (３年目or２年目)'!$AA19='3-2.所得算出参照表'!$B$8,'4-3.手当等支給メニュー (３年目or２年目)'!$K19*'3-2.所得算出参照表'!$E$8+'3-2.所得算出参照表'!$G$8,IF('4-3.手当等支給メニュー (３年目or２年目)'!$AA19='3-2.所得算出参照表'!$B$9,'4-3.手当等支給メニュー (３年目or２年目)'!$K19*'3-2.所得算出参照表'!$E$9+'3-2.所得算出参照表'!$G$9,IF($AA19='3-2.所得算出参照表'!$B$10,'3-2.所得算出参照表'!$G$10)))))))</f>
        <v>550000</v>
      </c>
      <c r="AK19" s="72">
        <f t="shared" si="9"/>
        <v>430000</v>
      </c>
      <c r="AL19" s="120">
        <f t="shared" si="10"/>
        <v>150000</v>
      </c>
      <c r="AM19" s="120">
        <f t="shared" si="11"/>
        <v>5500</v>
      </c>
      <c r="AN19" s="121">
        <f t="shared" si="12"/>
        <v>0.1</v>
      </c>
      <c r="AO19" s="128">
        <f t="shared" si="24"/>
        <v>18000</v>
      </c>
      <c r="AP19" s="145">
        <f t="shared" si="13"/>
        <v>1107812</v>
      </c>
    </row>
    <row r="20" spans="2:42" ht="21.95" customHeight="1" x14ac:dyDescent="0.15">
      <c r="B20" s="101">
        <v>6</v>
      </c>
      <c r="C20" s="486">
        <f t="shared" si="14"/>
        <v>1000</v>
      </c>
      <c r="D20" s="489">
        <f t="shared" si="15"/>
        <v>0</v>
      </c>
      <c r="E20" s="488">
        <f t="shared" si="16"/>
        <v>1000</v>
      </c>
      <c r="F20" s="447">
        <f t="shared" si="25"/>
        <v>5</v>
      </c>
      <c r="G20" s="85">
        <f t="shared" si="26"/>
        <v>26</v>
      </c>
      <c r="H20" s="198">
        <f t="shared" si="0"/>
        <v>1355.7142857142858</v>
      </c>
      <c r="I20" s="97">
        <f t="shared" si="1"/>
        <v>112976.19047619047</v>
      </c>
      <c r="J20" s="91">
        <f t="shared" si="17"/>
        <v>114976.19047619047</v>
      </c>
      <c r="K20" s="98">
        <f t="shared" si="2"/>
        <v>1379714.2857142857</v>
      </c>
      <c r="L20" s="93">
        <f t="shared" si="18"/>
        <v>117476.19047619047</v>
      </c>
      <c r="M20" s="94">
        <f>IF($D$4="",0,IF($L20=0,0,VLOOKUP($L20,'3-1.標準報酬月額・保険料表'!$N$8:$O$57,2,TRUE)))</f>
        <v>118000</v>
      </c>
      <c r="N20" s="187">
        <f t="shared" si="3"/>
        <v>0</v>
      </c>
      <c r="O20" s="94">
        <f t="shared" si="4"/>
        <v>0</v>
      </c>
      <c r="P20" s="187">
        <f t="shared" si="5"/>
        <v>112976.19047619047</v>
      </c>
      <c r="Q20" s="61">
        <f>IF($D$4="",0,IF($G20&lt;20,0,IF($Q$13="",0,IF($Q$13=2,0,IF($P20&lt;$R$13,0,IF($M20&lt;=620000,VLOOKUP($M20,'3-1.標準報酬月額・保険料表'!$D$8:$L$42,9,FALSE),'3-1.標準報酬月額・保険料表'!$L$42)+ROUNDDOWN($O20*$W$7,0))))))</f>
        <v>10797</v>
      </c>
      <c r="R20" s="50">
        <f>IF($D$4="",0,IF($G20&lt;20,0,IF($O$9="",0,IF($Q$13=2,0,IF($D$10&gt;=$S$13,0,IF($P20&lt;$R$13,0,VLOOKUP($M20,'3-1.標準報酬月額・保険料表'!$D$8:$J$57,6,FALSE)+ROUNDDOWN($O20*$T$7,0)))))))</f>
        <v>6071.1</v>
      </c>
      <c r="S20" s="50">
        <f>IF($D$4="",0,IF($G20&lt;20,0,IF($Q$13="",0,IF($Q$13=2,0,IF($D$10&lt;$S$13,0,IF($P20&lt;$R$13,0,VLOOKUP($M20,'3-1.標準報酬月額・保険料表'!$D$8:$J$57,7,FALSE)+ROUNDDOWN($O20*$U$7,0)))))))</f>
        <v>0</v>
      </c>
      <c r="T20" s="66">
        <f t="shared" si="19"/>
        <v>16868.099999999999</v>
      </c>
      <c r="U20" s="71">
        <f>IF($D$4="",0,IF($U$13="",0,IF($U$13=1,0,IF($G20&lt;$W$13,0,IF($K20&lt;$V$13,0,IF($M20&lt;=620000,VLOOKUP($M20,'3-1.標準報酬月額・保険料表'!$D$8:$L$42,9,FALSE),'3-1.標準報酬月額・保険料表'!$L$42)+ROUNDDOWN($O20*$W$7,0))))))</f>
        <v>0</v>
      </c>
      <c r="V20" s="72">
        <f>IF($D$4="",0,IF($U$13="",0,IF($U$13=1,0,IF($G20&lt;$W$13,0,IF($K20&lt;$V$13,0,IF($D$10&gt;=$X$13,0,VLOOKUP($M20,'3-1.標準報酬月額・保険料表'!$D$8:$J$57,6,FALSE)+ROUNDDOWN($O20*$T$7,0)))))))</f>
        <v>0</v>
      </c>
      <c r="W20" s="72">
        <f>IF($D$4="",0,IF($U$13="",0,IF($U$13=1,0,IF($G20&lt;$W$13,0,IF($K20&lt;$V$13,0,IF($D$10&lt;$X$13,0,VLOOKUP($M20,'3-1.標準報酬月額・保険料表'!$D$8:$J$57,7,FALSE)+ROUNDDOWN($O20*$U$7,0)))))))</f>
        <v>0</v>
      </c>
      <c r="X20" s="73">
        <f t="shared" si="20"/>
        <v>0</v>
      </c>
      <c r="Y20" s="63">
        <f t="shared" si="6"/>
        <v>8278.2857142857138</v>
      </c>
      <c r="Z20" s="68">
        <f t="shared" si="21"/>
        <v>210695.48571428569</v>
      </c>
      <c r="AA20" s="152">
        <f>IF($D$4="","",VLOOKUP($K20,'3-2.所得算出参照表'!K$5:L$10,2,TRUE))</f>
        <v>1625000</v>
      </c>
      <c r="AB20" s="153">
        <f>IF($AA20="",0,IF($AA20='3-2.所得算出参照表'!$B$5,'3-2.所得算出参照表'!$E$5,IF('4-3.手当等支給メニュー (３年目or２年目)'!$AA20='3-2.所得算出参照表'!$B$6,'4-3.手当等支給メニュー (３年目or２年目)'!$K20*'3-2.所得算出参照表'!$E$6+'3-2.所得算出参照表'!$G$6,IF('4-3.手当等支給メニュー (３年目or２年目)'!$AA20='3-2.所得算出参照表'!$B$7,'4-3.手当等支給メニュー (３年目or２年目)'!$K20*'3-2.所得算出参照表'!$E$7+'3-2.所得算出参照表'!$G$7,IF('4-3.手当等支給メニュー (３年目or２年目)'!$AA20='3-2.所得算出参照表'!$B$8,'4-3.手当等支給メニュー (３年目or２年目)'!$K20*'3-2.所得算出参照表'!$E$8+'3-2.所得算出参照表'!$G$8,IF('4-3.手当等支給メニュー (３年目or２年目)'!$AA20='3-2.所得算出参照表'!$B$9,'4-3.手当等支給メニュー (３年目or２年目)'!$K20*'3-2.所得算出参照表'!$E$9+'3-2.所得算出参照表'!$G$9,IF($AA20='3-2.所得算出参照表'!$B$10,'3-2.所得算出参照表'!$G$10)))))))</f>
        <v>550000</v>
      </c>
      <c r="AC20" s="115">
        <f t="shared" si="7"/>
        <v>480000</v>
      </c>
      <c r="AD20" s="110">
        <f t="shared" si="8"/>
        <v>139000</v>
      </c>
      <c r="AE20" s="155">
        <f>VLOOKUP($AD20,'3-2.所得算出参照表'!$N$4:$O$11,2,TRUE)</f>
        <v>0.05</v>
      </c>
      <c r="AF20" s="110">
        <f>VLOOKUP($AD20,'3-2.所得算出参照表'!$P$4:$Q$11,2,TRUE)</f>
        <v>0</v>
      </c>
      <c r="AG20" s="110">
        <f t="shared" si="22"/>
        <v>6950</v>
      </c>
      <c r="AH20" s="110">
        <f>$AG20*'3-2.所得算出参照表'!$D$14</f>
        <v>145.95000000000002</v>
      </c>
      <c r="AI20" s="124">
        <f t="shared" si="23"/>
        <v>7000</v>
      </c>
      <c r="AJ20" s="132">
        <f>IF($AA20="",0,IF($AA20='3-2.所得算出参照表'!$B$5,'3-2.所得算出参照表'!$E$5,IF('4-3.手当等支給メニュー (３年目or２年目)'!$AA20='3-2.所得算出参照表'!$B$6,'4-3.手当等支給メニュー (３年目or２年目)'!$K20*'3-2.所得算出参照表'!$E$6+'3-2.所得算出参照表'!$G$6,IF('4-3.手当等支給メニュー (３年目or２年目)'!$AA20='3-2.所得算出参照表'!$B$7,'4-3.手当等支給メニュー (３年目or２年目)'!$K20*'3-2.所得算出参照表'!$E$7+'3-2.所得算出参照表'!$G$7,IF('4-3.手当等支給メニュー (３年目or２年目)'!$AA20='3-2.所得算出参照表'!$B$8,'4-3.手当等支給メニュー (３年目or２年目)'!$K20*'3-2.所得算出参照表'!$E$8+'3-2.所得算出参照表'!$G$8,IF('4-3.手当等支給メニュー (３年目or２年目)'!$AA20='3-2.所得算出参照表'!$B$9,'4-3.手当等支給メニュー (３年目or２年目)'!$K20*'3-2.所得算出参照表'!$E$9+'3-2.所得算出参照表'!$G$9,IF($AA20='3-2.所得算出参照表'!$B$10,'3-2.所得算出参照表'!$G$10)))))))</f>
        <v>550000</v>
      </c>
      <c r="AK20" s="72">
        <f t="shared" si="9"/>
        <v>430000</v>
      </c>
      <c r="AL20" s="120">
        <f t="shared" si="10"/>
        <v>189000</v>
      </c>
      <c r="AM20" s="120">
        <f t="shared" si="11"/>
        <v>5500</v>
      </c>
      <c r="AN20" s="121">
        <f t="shared" si="12"/>
        <v>0.1</v>
      </c>
      <c r="AO20" s="128">
        <f t="shared" si="24"/>
        <v>21900</v>
      </c>
      <c r="AP20" s="145">
        <f t="shared" si="13"/>
        <v>1140118.8</v>
      </c>
    </row>
    <row r="21" spans="2:42" ht="21.95" customHeight="1" x14ac:dyDescent="0.15">
      <c r="B21" s="101">
        <v>7</v>
      </c>
      <c r="C21" s="486">
        <f t="shared" si="14"/>
        <v>1000</v>
      </c>
      <c r="D21" s="489">
        <f t="shared" si="15"/>
        <v>0</v>
      </c>
      <c r="E21" s="488">
        <f t="shared" si="16"/>
        <v>1000</v>
      </c>
      <c r="F21" s="447">
        <f t="shared" si="25"/>
        <v>6</v>
      </c>
      <c r="G21" s="85">
        <f t="shared" si="26"/>
        <v>27</v>
      </c>
      <c r="H21" s="198">
        <f t="shared" si="0"/>
        <v>1407.8571428571429</v>
      </c>
      <c r="I21" s="97">
        <f t="shared" si="1"/>
        <v>117321.42857142858</v>
      </c>
      <c r="J21" s="91">
        <f t="shared" si="17"/>
        <v>119321.42857142858</v>
      </c>
      <c r="K21" s="98">
        <f t="shared" si="2"/>
        <v>1431857.142857143</v>
      </c>
      <c r="L21" s="93">
        <f t="shared" si="18"/>
        <v>121821.42857142858</v>
      </c>
      <c r="M21" s="94">
        <f>IF($D$4="",0,IF($L21=0,0,VLOOKUP($L21,'3-1.標準報酬月額・保険料表'!$N$8:$O$57,2,TRUE)))</f>
        <v>118000</v>
      </c>
      <c r="N21" s="187">
        <f t="shared" si="3"/>
        <v>0</v>
      </c>
      <c r="O21" s="94">
        <f t="shared" si="4"/>
        <v>0</v>
      </c>
      <c r="P21" s="187">
        <f t="shared" si="5"/>
        <v>117321.42857142858</v>
      </c>
      <c r="Q21" s="61">
        <f>IF($D$4="",0,IF($G21&lt;20,0,IF($Q$13="",0,IF($Q$13=2,0,IF($P21&lt;$R$13,0,IF($M21&lt;=620000,VLOOKUP($M21,'3-1.標準報酬月額・保険料表'!$D$8:$L$42,9,FALSE),'3-1.標準報酬月額・保険料表'!$L$42)+ROUNDDOWN($O21*$W$7,0))))))</f>
        <v>10797</v>
      </c>
      <c r="R21" s="50">
        <f>IF($D$4="",0,IF($G21&lt;20,0,IF($O$9="",0,IF($Q$13=2,0,IF($D$10&gt;=$S$13,0,IF($P21&lt;$R$13,0,VLOOKUP($M21,'3-1.標準報酬月額・保険料表'!$D$8:$J$57,6,FALSE)+ROUNDDOWN($O21*$T$7,0)))))))</f>
        <v>6071.1</v>
      </c>
      <c r="S21" s="50">
        <f>IF($D$4="",0,IF($G21&lt;20,0,IF($Q$13="",0,IF($Q$13=2,0,IF($D$10&lt;$S$13,0,IF($P21&lt;$R$13,0,VLOOKUP($M21,'3-1.標準報酬月額・保険料表'!$D$8:$J$57,7,FALSE)+ROUNDDOWN($O21*$U$7,0)))))))</f>
        <v>0</v>
      </c>
      <c r="T21" s="66">
        <f t="shared" si="19"/>
        <v>16868.099999999999</v>
      </c>
      <c r="U21" s="71">
        <f>IF($D$4="",0,IF($U$13="",0,IF($U$13=1,0,IF($G21&lt;$W$13,0,IF($K21&lt;$V$13,0,IF($M21&lt;=620000,VLOOKUP($M21,'3-1.標準報酬月額・保険料表'!$D$8:$L$42,9,FALSE),'3-1.標準報酬月額・保険料表'!$L$42)+ROUNDDOWN($O21*$W$7,0))))))</f>
        <v>0</v>
      </c>
      <c r="V21" s="72">
        <f>IF($D$4="",0,IF($U$13="",0,IF($U$13=1,0,IF($G21&lt;$W$13,0,IF($K21&lt;$V$13,0,IF($D$10&gt;=$X$13,0,VLOOKUP($M21,'3-1.標準報酬月額・保険料表'!$D$8:$J$57,6,FALSE)+ROUNDDOWN($O21*$T$7,0)))))))</f>
        <v>0</v>
      </c>
      <c r="W21" s="72">
        <f>IF($D$4="",0,IF($U$13="",0,IF($U$13=1,0,IF($G21&lt;$W$13,0,IF($K21&lt;$V$13,0,IF($D$10&lt;$X$13,0,VLOOKUP($M21,'3-1.標準報酬月額・保険料表'!$D$8:$J$57,7,FALSE)+ROUNDDOWN($O21*$U$7,0)))))))</f>
        <v>0</v>
      </c>
      <c r="X21" s="73">
        <f t="shared" si="20"/>
        <v>0</v>
      </c>
      <c r="Y21" s="63">
        <f t="shared" si="6"/>
        <v>8591.1428571428587</v>
      </c>
      <c r="Z21" s="68">
        <f t="shared" si="21"/>
        <v>211008.34285714285</v>
      </c>
      <c r="AA21" s="152">
        <f>IF($D$4="","",VLOOKUP($K21,'3-2.所得算出参照表'!K$5:L$10,2,TRUE))</f>
        <v>1625000</v>
      </c>
      <c r="AB21" s="153">
        <f>IF($AA21="",0,IF($AA21='3-2.所得算出参照表'!$B$5,'3-2.所得算出参照表'!$E$5,IF('4-3.手当等支給メニュー (３年目or２年目)'!$AA21='3-2.所得算出参照表'!$B$6,'4-3.手当等支給メニュー (３年目or２年目)'!$K21*'3-2.所得算出参照表'!$E$6+'3-2.所得算出参照表'!$G$6,IF('4-3.手当等支給メニュー (３年目or２年目)'!$AA21='3-2.所得算出参照表'!$B$7,'4-3.手当等支給メニュー (３年目or２年目)'!$K21*'3-2.所得算出参照表'!$E$7+'3-2.所得算出参照表'!$G$7,IF('4-3.手当等支給メニュー (３年目or２年目)'!$AA21='3-2.所得算出参照表'!$B$8,'4-3.手当等支給メニュー (３年目or２年目)'!$K21*'3-2.所得算出参照表'!$E$8+'3-2.所得算出参照表'!$G$8,IF('4-3.手当等支給メニュー (３年目or２年目)'!$AA21='3-2.所得算出参照表'!$B$9,'4-3.手当等支給メニュー (３年目or２年目)'!$K21*'3-2.所得算出参照表'!$E$9+'3-2.所得算出参照表'!$G$9,IF($AA21='3-2.所得算出参照表'!$B$10,'3-2.所得算出参照表'!$G$10)))))))</f>
        <v>550000</v>
      </c>
      <c r="AC21" s="115">
        <f t="shared" si="7"/>
        <v>480000</v>
      </c>
      <c r="AD21" s="110">
        <f t="shared" si="8"/>
        <v>190000</v>
      </c>
      <c r="AE21" s="155">
        <f>VLOOKUP($AD21,'3-2.所得算出参照表'!$N$4:$O$11,2,TRUE)</f>
        <v>0.05</v>
      </c>
      <c r="AF21" s="110">
        <f>VLOOKUP($AD21,'3-2.所得算出参照表'!$P$4:$Q$11,2,TRUE)</f>
        <v>0</v>
      </c>
      <c r="AG21" s="110">
        <f t="shared" si="22"/>
        <v>9500</v>
      </c>
      <c r="AH21" s="110">
        <f>$AG21*'3-2.所得算出参照表'!$D$14</f>
        <v>199.5</v>
      </c>
      <c r="AI21" s="124">
        <f t="shared" si="23"/>
        <v>9600</v>
      </c>
      <c r="AJ21" s="132">
        <f>IF($AA21="",0,IF($AA21='3-2.所得算出参照表'!$B$5,'3-2.所得算出参照表'!$E$5,IF('4-3.手当等支給メニュー (３年目or２年目)'!$AA21='3-2.所得算出参照表'!$B$6,'4-3.手当等支給メニュー (３年目or２年目)'!$K21*'3-2.所得算出参照表'!$E$6+'3-2.所得算出参照表'!$G$6,IF('4-3.手当等支給メニュー (３年目or２年目)'!$AA21='3-2.所得算出参照表'!$B$7,'4-3.手当等支給メニュー (３年目or２年目)'!$K21*'3-2.所得算出参照表'!$E$7+'3-2.所得算出参照表'!$G$7,IF('4-3.手当等支給メニュー (３年目or２年目)'!$AA21='3-2.所得算出参照表'!$B$8,'4-3.手当等支給メニュー (３年目or２年目)'!$K21*'3-2.所得算出参照表'!$E$8+'3-2.所得算出参照表'!$G$8,IF('4-3.手当等支給メニュー (３年目or２年目)'!$AA21='3-2.所得算出参照表'!$B$9,'4-3.手当等支給メニュー (３年目or２年目)'!$K21*'3-2.所得算出参照表'!$E$9+'3-2.所得算出参照表'!$G$9,IF($AA21='3-2.所得算出参照表'!$B$10,'3-2.所得算出参照表'!$G$10)))))))</f>
        <v>550000</v>
      </c>
      <c r="AK21" s="72">
        <f t="shared" si="9"/>
        <v>430000</v>
      </c>
      <c r="AL21" s="120">
        <f t="shared" si="10"/>
        <v>240000</v>
      </c>
      <c r="AM21" s="120">
        <f t="shared" si="11"/>
        <v>5500</v>
      </c>
      <c r="AN21" s="121">
        <f t="shared" si="12"/>
        <v>0.1</v>
      </c>
      <c r="AO21" s="128">
        <f t="shared" si="24"/>
        <v>27000</v>
      </c>
      <c r="AP21" s="145">
        <f t="shared" si="13"/>
        <v>1184248.8</v>
      </c>
    </row>
    <row r="22" spans="2:42" ht="21.95" customHeight="1" x14ac:dyDescent="0.15">
      <c r="B22" s="100">
        <v>8</v>
      </c>
      <c r="C22" s="486">
        <f t="shared" si="14"/>
        <v>1000</v>
      </c>
      <c r="D22" s="489">
        <f t="shared" si="15"/>
        <v>0</v>
      </c>
      <c r="E22" s="488">
        <f t="shared" si="16"/>
        <v>1000</v>
      </c>
      <c r="F22" s="447">
        <f t="shared" si="25"/>
        <v>7</v>
      </c>
      <c r="G22" s="85">
        <f t="shared" si="26"/>
        <v>28</v>
      </c>
      <c r="H22" s="198">
        <f t="shared" si="0"/>
        <v>1460</v>
      </c>
      <c r="I22" s="97">
        <f t="shared" si="1"/>
        <v>121666.66666666667</v>
      </c>
      <c r="J22" s="91">
        <f t="shared" si="17"/>
        <v>123666.66666666667</v>
      </c>
      <c r="K22" s="98">
        <f t="shared" si="2"/>
        <v>1484000</v>
      </c>
      <c r="L22" s="93">
        <f t="shared" si="18"/>
        <v>126166.66666666667</v>
      </c>
      <c r="M22" s="94">
        <f>IF($D$4="",0,IF($L22=0,0,VLOOKUP($L22,'3-1.標準報酬月額・保険料表'!$N$8:$O$57,2,TRUE)))</f>
        <v>126000</v>
      </c>
      <c r="N22" s="187">
        <f t="shared" si="3"/>
        <v>0</v>
      </c>
      <c r="O22" s="94">
        <f t="shared" si="4"/>
        <v>0</v>
      </c>
      <c r="P22" s="187">
        <f t="shared" si="5"/>
        <v>121666.66666666667</v>
      </c>
      <c r="Q22" s="61">
        <f>IF($D$4="",0,IF($G22&lt;20,0,IF($Q$13="",0,IF($Q$13=2,0,IF($P22&lt;$R$13,0,IF($M22&lt;=620000,VLOOKUP($M22,'3-1.標準報酬月額・保険料表'!$D$8:$L$42,9,FALSE),'3-1.標準報酬月額・保険料表'!$L$42)+ROUNDDOWN($O22*$W$7,0))))))</f>
        <v>11529</v>
      </c>
      <c r="R22" s="50">
        <f>IF($D$4="",0,IF($G22&lt;20,0,IF($O$9="",0,IF($Q$13=2,0,IF($D$10&gt;=$S$13,0,IF($P22&lt;$R$13,0,VLOOKUP($M22,'3-1.標準報酬月額・保険料表'!$D$8:$J$57,6,FALSE)+ROUNDDOWN($O22*$T$7,0)))))))</f>
        <v>6482.7000000000007</v>
      </c>
      <c r="S22" s="50">
        <f>IF($D$4="",0,IF($G22&lt;20,0,IF($Q$13="",0,IF($Q$13=2,0,IF($D$10&lt;$S$13,0,IF($P22&lt;$R$13,0,VLOOKUP($M22,'3-1.標準報酬月額・保険料表'!$D$8:$J$57,7,FALSE)+ROUNDDOWN($O22*$U$7,0)))))))</f>
        <v>0</v>
      </c>
      <c r="T22" s="66">
        <f t="shared" si="19"/>
        <v>18011.7</v>
      </c>
      <c r="U22" s="71">
        <f>IF($D$4="",0,IF($U$13="",0,IF($U$13=1,0,IF($G22&lt;$W$13,0,IF($K22&lt;$V$13,0,IF($M22&lt;=620000,VLOOKUP($M22,'3-1.標準報酬月額・保険料表'!$D$8:$L$42,9,FALSE),'3-1.標準報酬月額・保険料表'!$L$42)+ROUNDDOWN($O22*$W$7,0))))))</f>
        <v>0</v>
      </c>
      <c r="V22" s="72">
        <f>IF($D$4="",0,IF($U$13="",0,IF($U$13=1,0,IF($G22&lt;$W$13,0,IF($K22&lt;$V$13,0,IF($D$10&gt;=$X$13,0,VLOOKUP($M22,'3-1.標準報酬月額・保険料表'!$D$8:$J$57,6,FALSE)+ROUNDDOWN($O22*$T$7,0)))))))</f>
        <v>0</v>
      </c>
      <c r="W22" s="72">
        <f>IF($D$4="",0,IF($U$13="",0,IF($U$13=1,0,IF($G22&lt;$W$13,0,IF($K22&lt;$V$13,0,IF($D$10&lt;$X$13,0,VLOOKUP($M22,'3-1.標準報酬月額・保険料表'!$D$8:$J$57,7,FALSE)+ROUNDDOWN($O22*$U$7,0)))))))</f>
        <v>0</v>
      </c>
      <c r="X22" s="73">
        <f t="shared" si="20"/>
        <v>0</v>
      </c>
      <c r="Y22" s="63">
        <f t="shared" si="6"/>
        <v>8904</v>
      </c>
      <c r="Z22" s="68">
        <f t="shared" si="21"/>
        <v>225044.40000000002</v>
      </c>
      <c r="AA22" s="152">
        <f>IF($D$4="","",VLOOKUP($K22,'3-2.所得算出参照表'!K$5:L$10,2,TRUE))</f>
        <v>1625000</v>
      </c>
      <c r="AB22" s="153">
        <f>IF($AA22="",0,IF($AA22='3-2.所得算出参照表'!$B$5,'3-2.所得算出参照表'!$E$5,IF('4-3.手当等支給メニュー (３年目or２年目)'!$AA22='3-2.所得算出参照表'!$B$6,'4-3.手当等支給メニュー (３年目or２年目)'!$K22*'3-2.所得算出参照表'!$E$6+'3-2.所得算出参照表'!$G$6,IF('4-3.手当等支給メニュー (３年目or２年目)'!$AA22='3-2.所得算出参照表'!$B$7,'4-3.手当等支給メニュー (３年目or２年目)'!$K22*'3-2.所得算出参照表'!$E$7+'3-2.所得算出参照表'!$G$7,IF('4-3.手当等支給メニュー (３年目or２年目)'!$AA22='3-2.所得算出参照表'!$B$8,'4-3.手当等支給メニュー (３年目or２年目)'!$K22*'3-2.所得算出参照表'!$E$8+'3-2.所得算出参照表'!$G$8,IF('4-3.手当等支給メニュー (３年目or２年目)'!$AA22='3-2.所得算出参照表'!$B$9,'4-3.手当等支給メニュー (３年目or２年目)'!$K22*'3-2.所得算出参照表'!$E$9+'3-2.所得算出参照表'!$G$9,IF($AA22='3-2.所得算出参照表'!$B$10,'3-2.所得算出参照表'!$G$10)))))))</f>
        <v>550000</v>
      </c>
      <c r="AC22" s="115">
        <f t="shared" si="7"/>
        <v>480000</v>
      </c>
      <c r="AD22" s="110">
        <f t="shared" si="8"/>
        <v>228000</v>
      </c>
      <c r="AE22" s="155">
        <f>VLOOKUP($AD22,'3-2.所得算出参照表'!$N$4:$O$11,2,TRUE)</f>
        <v>0.05</v>
      </c>
      <c r="AF22" s="110">
        <f>VLOOKUP($AD22,'3-2.所得算出参照表'!$P$4:$Q$11,2,TRUE)</f>
        <v>0</v>
      </c>
      <c r="AG22" s="110">
        <f>$AD22*AE22-$AF22</f>
        <v>11400</v>
      </c>
      <c r="AH22" s="110">
        <f>$AG22*'3-2.所得算出参照表'!$D$14</f>
        <v>239.4</v>
      </c>
      <c r="AI22" s="124">
        <f>ROUNDDOWN($AG22+$AH22,-2)</f>
        <v>11600</v>
      </c>
      <c r="AJ22" s="132">
        <f>IF($AA22="",0,IF($AA22='3-2.所得算出参照表'!$B$5,'3-2.所得算出参照表'!$E$5,IF('4-3.手当等支給メニュー (３年目or２年目)'!$AA22='3-2.所得算出参照表'!$B$6,'4-3.手当等支給メニュー (３年目or２年目)'!$K22*'3-2.所得算出参照表'!$E$6+'3-2.所得算出参照表'!$G$6,IF('4-3.手当等支給メニュー (３年目or２年目)'!$AA22='3-2.所得算出参照表'!$B$7,'4-3.手当等支給メニュー (３年目or２年目)'!$K22*'3-2.所得算出参照表'!$E$7+'3-2.所得算出参照表'!$G$7,IF('4-3.手当等支給メニュー (３年目or２年目)'!$AA22='3-2.所得算出参照表'!$B$8,'4-3.手当等支給メニュー (３年目or２年目)'!$K22*'3-2.所得算出参照表'!$E$8+'3-2.所得算出参照表'!$G$8,IF('4-3.手当等支給メニュー (３年目or２年目)'!$AA22='3-2.所得算出参照表'!$B$9,'4-3.手当等支給メニュー (３年目or２年目)'!$K22*'3-2.所得算出参照表'!$E$9+'3-2.所得算出参照表'!$G$9,IF($AA22='3-2.所得算出参照表'!$B$10,'3-2.所得算出参照表'!$G$10)))))))</f>
        <v>550000</v>
      </c>
      <c r="AK22" s="72">
        <f t="shared" si="9"/>
        <v>430000</v>
      </c>
      <c r="AL22" s="120">
        <f t="shared" si="10"/>
        <v>278000</v>
      </c>
      <c r="AM22" s="120">
        <f t="shared" si="11"/>
        <v>5500</v>
      </c>
      <c r="AN22" s="121">
        <f t="shared" si="12"/>
        <v>0.1</v>
      </c>
      <c r="AO22" s="128">
        <f t="shared" si="24"/>
        <v>30800</v>
      </c>
      <c r="AP22" s="145">
        <f t="shared" si="13"/>
        <v>1216555.6000000001</v>
      </c>
    </row>
    <row r="23" spans="2:42" ht="21.95" customHeight="1" x14ac:dyDescent="0.15">
      <c r="B23" s="101">
        <v>9</v>
      </c>
      <c r="C23" s="486">
        <f t="shared" si="14"/>
        <v>1000</v>
      </c>
      <c r="D23" s="489">
        <f t="shared" si="15"/>
        <v>0</v>
      </c>
      <c r="E23" s="488">
        <f t="shared" si="16"/>
        <v>1000</v>
      </c>
      <c r="F23" s="447">
        <f t="shared" si="25"/>
        <v>8</v>
      </c>
      <c r="G23" s="85">
        <f t="shared" si="26"/>
        <v>29</v>
      </c>
      <c r="H23" s="198">
        <f t="shared" si="0"/>
        <v>1512.1428571428571</v>
      </c>
      <c r="I23" s="97">
        <f t="shared" si="1"/>
        <v>126011.90476190475</v>
      </c>
      <c r="J23" s="91">
        <f t="shared" si="17"/>
        <v>128011.90476190475</v>
      </c>
      <c r="K23" s="98">
        <f t="shared" si="2"/>
        <v>1536142.857142857</v>
      </c>
      <c r="L23" s="93">
        <f t="shared" si="18"/>
        <v>130511.90476190475</v>
      </c>
      <c r="M23" s="94">
        <f>IF($D$4="",0,IF($L23=0,0,VLOOKUP($L23,'3-1.標準報酬月額・保険料表'!$N$8:$O$57,2,TRUE)))</f>
        <v>134000</v>
      </c>
      <c r="N23" s="187">
        <f t="shared" si="3"/>
        <v>0</v>
      </c>
      <c r="O23" s="94">
        <f t="shared" si="4"/>
        <v>0</v>
      </c>
      <c r="P23" s="187">
        <f t="shared" si="5"/>
        <v>126011.90476190475</v>
      </c>
      <c r="Q23" s="61">
        <f>IF($D$4="",0,IF($G23&lt;20,0,IF($Q$13="",0,IF($Q$13=2,0,IF($P23&lt;$R$13,0,IF($M23&lt;=620000,VLOOKUP($M23,'3-1.標準報酬月額・保険料表'!$D$8:$L$42,9,FALSE),'3-1.標準報酬月額・保険料表'!$L$42)+ROUNDDOWN($O23*$W$7,0))))))</f>
        <v>12261</v>
      </c>
      <c r="R23" s="50">
        <f>IF($D$4="",0,IF($G23&lt;20,0,IF($O$9="",0,IF($Q$13=2,0,IF($D$10&gt;=$S$13,0,IF($P23&lt;$R$13,0,VLOOKUP($M23,'3-1.標準報酬月額・保険料表'!$D$8:$J$57,6,FALSE)+ROUNDDOWN($O23*$T$7,0)))))))</f>
        <v>6894.3</v>
      </c>
      <c r="S23" s="50">
        <f>IF($D$4="",0,IF($G23&lt;20,0,IF($Q$13="",0,IF($Q$13=2,0,IF($D$10&lt;$S$13,0,IF($P23&lt;$R$13,0,VLOOKUP($M23,'3-1.標準報酬月額・保険料表'!$D$8:$J$57,7,FALSE)+ROUNDDOWN($O23*$U$7,0)))))))</f>
        <v>0</v>
      </c>
      <c r="T23" s="66">
        <f t="shared" si="19"/>
        <v>19155.3</v>
      </c>
      <c r="U23" s="71">
        <f>IF($D$4="",0,IF($U$13="",0,IF($U$13=1,0,IF($G23&lt;$W$13,0,IF($K23&lt;$V$13,0,IF($M23&lt;=620000,VLOOKUP($M23,'3-1.標準報酬月額・保険料表'!$D$8:$L$42,9,FALSE),'3-1.標準報酬月額・保険料表'!$L$42)+ROUNDDOWN($O23*$W$7,0))))))</f>
        <v>0</v>
      </c>
      <c r="V23" s="72">
        <f>IF($D$4="",0,IF($U$13="",0,IF($U$13=1,0,IF($G23&lt;$W$13,0,IF($K23&lt;$V$13,0,IF($D$10&gt;=$X$13,0,VLOOKUP($M23,'3-1.標準報酬月額・保険料表'!$D$8:$J$57,6,FALSE)+ROUNDDOWN($O23*$T$7,0)))))))</f>
        <v>0</v>
      </c>
      <c r="W23" s="72">
        <f>IF($D$4="",0,IF($U$13="",0,IF($U$13=1,0,IF($G23&lt;$W$13,0,IF($K23&lt;$V$13,0,IF($D$10&lt;$X$13,0,VLOOKUP($M23,'3-1.標準報酬月額・保険料表'!$D$8:$J$57,7,FALSE)+ROUNDDOWN($O23*$U$7,0)))))))</f>
        <v>0</v>
      </c>
      <c r="X23" s="73">
        <f t="shared" si="20"/>
        <v>0</v>
      </c>
      <c r="Y23" s="63">
        <f t="shared" si="6"/>
        <v>9216.8571428571431</v>
      </c>
      <c r="Z23" s="68">
        <f t="shared" si="21"/>
        <v>239080.45714285711</v>
      </c>
      <c r="AA23" s="152">
        <f>IF($D$4="","",VLOOKUP($K23,'3-2.所得算出参照表'!K$5:L$10,2,TRUE))</f>
        <v>1625000</v>
      </c>
      <c r="AB23" s="153">
        <f>IF($AA23="",0,IF($AA23='3-2.所得算出参照表'!$B$5,'3-2.所得算出参照表'!$E$5,IF('4-3.手当等支給メニュー (３年目or２年目)'!$AA23='3-2.所得算出参照表'!$B$6,'4-3.手当等支給メニュー (３年目or２年目)'!$K23*'3-2.所得算出参照表'!$E$6+'3-2.所得算出参照表'!$G$6,IF('4-3.手当等支給メニュー (３年目or２年目)'!$AA23='3-2.所得算出参照表'!$B$7,'4-3.手当等支給メニュー (３年目or２年目)'!$K23*'3-2.所得算出参照表'!$E$7+'3-2.所得算出参照表'!$G$7,IF('4-3.手当等支給メニュー (３年目or２年目)'!$AA23='3-2.所得算出参照表'!$B$8,'4-3.手当等支給メニュー (３年目or２年目)'!$K23*'3-2.所得算出参照表'!$E$8+'3-2.所得算出参照表'!$G$8,IF('4-3.手当等支給メニュー (３年目or２年目)'!$AA23='3-2.所得算出参照表'!$B$9,'4-3.手当等支給メニュー (３年目or２年目)'!$K23*'3-2.所得算出参照表'!$E$9+'3-2.所得算出参照表'!$G$9,IF($AA23='3-2.所得算出参照表'!$B$10,'3-2.所得算出参照表'!$G$10)))))))</f>
        <v>550000</v>
      </c>
      <c r="AC23" s="115">
        <f t="shared" si="7"/>
        <v>480000</v>
      </c>
      <c r="AD23" s="110">
        <f t="shared" si="8"/>
        <v>267000</v>
      </c>
      <c r="AE23" s="155">
        <f>VLOOKUP($AD23,'3-2.所得算出参照表'!$N$4:$O$11,2,TRUE)</f>
        <v>0.05</v>
      </c>
      <c r="AF23" s="110">
        <f>VLOOKUP($AD23,'3-2.所得算出参照表'!$P$4:$Q$11,2,TRUE)</f>
        <v>0</v>
      </c>
      <c r="AG23" s="110">
        <f t="shared" ref="AG23:AG44" si="27">$AD23*AE23-$AF23</f>
        <v>13350</v>
      </c>
      <c r="AH23" s="110">
        <f>$AG23*'3-2.所得算出参照表'!$D$14</f>
        <v>280.35000000000002</v>
      </c>
      <c r="AI23" s="124">
        <f t="shared" ref="AI23:AI44" si="28">ROUNDDOWN($AG23+$AH23,-2)</f>
        <v>13600</v>
      </c>
      <c r="AJ23" s="132">
        <f>IF($AA23="",0,IF($AA23='3-2.所得算出参照表'!$B$5,'3-2.所得算出参照表'!$E$5,IF('4-3.手当等支給メニュー (３年目or２年目)'!$AA23='3-2.所得算出参照表'!$B$6,'4-3.手当等支給メニュー (３年目or２年目)'!$K23*'3-2.所得算出参照表'!$E$6+'3-2.所得算出参照表'!$G$6,IF('4-3.手当等支給メニュー (３年目or２年目)'!$AA23='3-2.所得算出参照表'!$B$7,'4-3.手当等支給メニュー (３年目or２年目)'!$K23*'3-2.所得算出参照表'!$E$7+'3-2.所得算出参照表'!$G$7,IF('4-3.手当等支給メニュー (３年目or２年目)'!$AA23='3-2.所得算出参照表'!$B$8,'4-3.手当等支給メニュー (３年目or２年目)'!$K23*'3-2.所得算出参照表'!$E$8+'3-2.所得算出参照表'!$G$8,IF('4-3.手当等支給メニュー (３年目or２年目)'!$AA23='3-2.所得算出参照表'!$B$9,'4-3.手当等支給メニュー (３年目or２年目)'!$K23*'3-2.所得算出参照表'!$E$9+'3-2.所得算出参照表'!$G$9,IF($AA23='3-2.所得算出参照表'!$B$10,'3-2.所得算出参照表'!$G$10)))))))</f>
        <v>550000</v>
      </c>
      <c r="AK23" s="72">
        <f t="shared" si="9"/>
        <v>430000</v>
      </c>
      <c r="AL23" s="120">
        <f t="shared" si="10"/>
        <v>317000</v>
      </c>
      <c r="AM23" s="120">
        <f t="shared" si="11"/>
        <v>5500</v>
      </c>
      <c r="AN23" s="121">
        <f t="shared" si="12"/>
        <v>0.1</v>
      </c>
      <c r="AO23" s="128">
        <f t="shared" si="24"/>
        <v>34700</v>
      </c>
      <c r="AP23" s="145">
        <f t="shared" si="13"/>
        <v>1248762.3999999999</v>
      </c>
    </row>
    <row r="24" spans="2:42" ht="21.95" customHeight="1" x14ac:dyDescent="0.15">
      <c r="B24" s="101">
        <v>10</v>
      </c>
      <c r="C24" s="486">
        <f t="shared" si="14"/>
        <v>1000</v>
      </c>
      <c r="D24" s="489">
        <f t="shared" si="15"/>
        <v>0</v>
      </c>
      <c r="E24" s="488">
        <f t="shared" si="16"/>
        <v>1000</v>
      </c>
      <c r="F24" s="447">
        <f t="shared" si="25"/>
        <v>9</v>
      </c>
      <c r="G24" s="85">
        <f t="shared" si="26"/>
        <v>30</v>
      </c>
      <c r="H24" s="198">
        <f t="shared" si="0"/>
        <v>1564.2857142857142</v>
      </c>
      <c r="I24" s="97">
        <f t="shared" si="1"/>
        <v>130357.14285714286</v>
      </c>
      <c r="J24" s="91">
        <f t="shared" si="17"/>
        <v>132357.14285714284</v>
      </c>
      <c r="K24" s="98">
        <f t="shared" si="2"/>
        <v>1588285.7142857141</v>
      </c>
      <c r="L24" s="93">
        <f t="shared" si="18"/>
        <v>134857.14285714284</v>
      </c>
      <c r="M24" s="94">
        <f>IF($D$4="",0,IF($L24=0,0,VLOOKUP($L24,'3-1.標準報酬月額・保険料表'!$N$8:$O$57,2,TRUE)))</f>
        <v>134000</v>
      </c>
      <c r="N24" s="187">
        <f t="shared" si="3"/>
        <v>0</v>
      </c>
      <c r="O24" s="94">
        <f t="shared" si="4"/>
        <v>0</v>
      </c>
      <c r="P24" s="187">
        <f t="shared" si="5"/>
        <v>130357.14285714286</v>
      </c>
      <c r="Q24" s="61">
        <f>IF($D$4="",0,IF($G24&lt;20,0,IF($Q$13="",0,IF($Q$13=2,0,IF($P24&lt;$R$13,0,IF($M24&lt;=620000,VLOOKUP($M24,'3-1.標準報酬月額・保険料表'!$D$8:$L$42,9,FALSE),'3-1.標準報酬月額・保険料表'!$L$42)+ROUNDDOWN($O24*$W$7,0))))))</f>
        <v>12261</v>
      </c>
      <c r="R24" s="50">
        <f>IF($D$4="",0,IF($G24&lt;20,0,IF($O$9="",0,IF($Q$13=2,0,IF($D$10&gt;=$S$13,0,IF($P24&lt;$R$13,0,VLOOKUP($M24,'3-1.標準報酬月額・保険料表'!$D$8:$J$57,6,FALSE)+ROUNDDOWN($O24*$T$7,0)))))))</f>
        <v>6894.3</v>
      </c>
      <c r="S24" s="50">
        <f>IF($D$4="",0,IF($G24&lt;20,0,IF($Q$13="",0,IF($Q$13=2,0,IF($D$10&lt;$S$13,0,IF($P24&lt;$R$13,0,VLOOKUP($M24,'3-1.標準報酬月額・保険料表'!$D$8:$J$57,7,FALSE)+ROUNDDOWN($O24*$U$7,0)))))))</f>
        <v>0</v>
      </c>
      <c r="T24" s="66">
        <f t="shared" si="19"/>
        <v>19155.3</v>
      </c>
      <c r="U24" s="71">
        <f>IF($D$4="",0,IF($U$13="",0,IF($U$13=1,0,IF($G24&lt;$W$13,0,IF($K24&lt;$V$13,0,IF($M24&lt;=620000,VLOOKUP($M24,'3-1.標準報酬月額・保険料表'!$D$8:$L$42,9,FALSE),'3-1.標準報酬月額・保険料表'!$L$42)+ROUNDDOWN($O24*$W$7,0))))))</f>
        <v>0</v>
      </c>
      <c r="V24" s="72">
        <f>IF($D$4="",0,IF($U$13="",0,IF($U$13=1,0,IF($G24&lt;$W$13,0,IF($K24&lt;$V$13,0,IF($D$10&gt;=$X$13,0,VLOOKUP($M24,'3-1.標準報酬月額・保険料表'!$D$8:$J$57,6,FALSE)+ROUNDDOWN($O24*$T$7,0)))))))</f>
        <v>0</v>
      </c>
      <c r="W24" s="72">
        <f>IF($D$4="",0,IF($U$13="",0,IF($U$13=1,0,IF($G24&lt;$W$13,0,IF($K24&lt;$V$13,0,IF($D$10&lt;$X$13,0,VLOOKUP($M24,'3-1.標準報酬月額・保険料表'!$D$8:$J$57,7,FALSE)+ROUNDDOWN($O24*$U$7,0)))))))</f>
        <v>0</v>
      </c>
      <c r="X24" s="73">
        <f t="shared" si="20"/>
        <v>0</v>
      </c>
      <c r="Y24" s="63">
        <f t="shared" si="6"/>
        <v>9529.7142857142844</v>
      </c>
      <c r="Z24" s="68">
        <f t="shared" si="21"/>
        <v>239393.31428571427</v>
      </c>
      <c r="AA24" s="152">
        <f>IF($D$4="","",VLOOKUP($K24,'3-2.所得算出参照表'!K$5:L$10,2,TRUE))</f>
        <v>1625000</v>
      </c>
      <c r="AB24" s="153">
        <f>IF($AA24="",0,IF($AA24='3-2.所得算出参照表'!$B$5,'3-2.所得算出参照表'!$E$5,IF('4-3.手当等支給メニュー (３年目or２年目)'!$AA24='3-2.所得算出参照表'!$B$6,'4-3.手当等支給メニュー (３年目or２年目)'!$K24*'3-2.所得算出参照表'!$E$6+'3-2.所得算出参照表'!$G$6,IF('4-3.手当等支給メニュー (３年目or２年目)'!$AA24='3-2.所得算出参照表'!$B$7,'4-3.手当等支給メニュー (３年目or２年目)'!$K24*'3-2.所得算出参照表'!$E$7+'3-2.所得算出参照表'!$G$7,IF('4-3.手当等支給メニュー (３年目or２年目)'!$AA24='3-2.所得算出参照表'!$B$8,'4-3.手当等支給メニュー (３年目or２年目)'!$K24*'3-2.所得算出参照表'!$E$8+'3-2.所得算出参照表'!$G$8,IF('4-3.手当等支給メニュー (３年目or２年目)'!$AA24='3-2.所得算出参照表'!$B$9,'4-3.手当等支給メニュー (３年目or２年目)'!$K24*'3-2.所得算出参照表'!$E$9+'3-2.所得算出参照表'!$G$9,IF($AA24='3-2.所得算出参照表'!$B$10,'3-2.所得算出参照表'!$G$10)))))))</f>
        <v>550000</v>
      </c>
      <c r="AC24" s="115">
        <f t="shared" si="7"/>
        <v>480000</v>
      </c>
      <c r="AD24" s="110">
        <f t="shared" si="8"/>
        <v>318000</v>
      </c>
      <c r="AE24" s="155">
        <f>VLOOKUP($AD24,'3-2.所得算出参照表'!$N$4:$O$11,2,TRUE)</f>
        <v>0.05</v>
      </c>
      <c r="AF24" s="110">
        <f>VLOOKUP($AD24,'3-2.所得算出参照表'!$P$4:$Q$11,2,TRUE)</f>
        <v>0</v>
      </c>
      <c r="AG24" s="110">
        <f t="shared" si="27"/>
        <v>15900</v>
      </c>
      <c r="AH24" s="110">
        <f>$AG24*'3-2.所得算出参照表'!$D$14</f>
        <v>333.90000000000003</v>
      </c>
      <c r="AI24" s="124">
        <f t="shared" si="28"/>
        <v>16200</v>
      </c>
      <c r="AJ24" s="132">
        <f>IF($AA24="",0,IF($AA24='3-2.所得算出参照表'!$B$5,'3-2.所得算出参照表'!$E$5,IF('4-3.手当等支給メニュー (３年目or２年目)'!$AA24='3-2.所得算出参照表'!$B$6,'4-3.手当等支給メニュー (３年目or２年目)'!$K24*'3-2.所得算出参照表'!$E$6+'3-2.所得算出参照表'!$G$6,IF('4-3.手当等支給メニュー (３年目or２年目)'!$AA24='3-2.所得算出参照表'!$B$7,'4-3.手当等支給メニュー (３年目or２年目)'!$K24*'3-2.所得算出参照表'!$E$7+'3-2.所得算出参照表'!$G$7,IF('4-3.手当等支給メニュー (３年目or２年目)'!$AA24='3-2.所得算出参照表'!$B$8,'4-3.手当等支給メニュー (３年目or２年目)'!$K24*'3-2.所得算出参照表'!$E$8+'3-2.所得算出参照表'!$G$8,IF('4-3.手当等支給メニュー (３年目or２年目)'!$AA24='3-2.所得算出参照表'!$B$9,'4-3.手当等支給メニュー (３年目or２年目)'!$K24*'3-2.所得算出参照表'!$E$9+'3-2.所得算出参照表'!$G$9,IF($AA24='3-2.所得算出参照表'!$B$10,'3-2.所得算出参照表'!$G$10)))))))</f>
        <v>550000</v>
      </c>
      <c r="AK24" s="72">
        <f t="shared" si="9"/>
        <v>430000</v>
      </c>
      <c r="AL24" s="120">
        <f t="shared" si="10"/>
        <v>368000</v>
      </c>
      <c r="AM24" s="120">
        <f t="shared" si="11"/>
        <v>5500</v>
      </c>
      <c r="AN24" s="121">
        <f t="shared" si="12"/>
        <v>0.1</v>
      </c>
      <c r="AO24" s="128">
        <f t="shared" si="24"/>
        <v>39800</v>
      </c>
      <c r="AP24" s="145">
        <f t="shared" si="13"/>
        <v>1292892.3999999999</v>
      </c>
    </row>
    <row r="25" spans="2:42" ht="21.95" customHeight="1" x14ac:dyDescent="0.15">
      <c r="B25" s="101">
        <v>11</v>
      </c>
      <c r="C25" s="486">
        <f t="shared" si="14"/>
        <v>1000</v>
      </c>
      <c r="D25" s="489">
        <f t="shared" si="15"/>
        <v>0</v>
      </c>
      <c r="E25" s="488">
        <f t="shared" si="16"/>
        <v>1000</v>
      </c>
      <c r="F25" s="447">
        <f t="shared" si="25"/>
        <v>10</v>
      </c>
      <c r="G25" s="85">
        <f t="shared" si="26"/>
        <v>31</v>
      </c>
      <c r="H25" s="198">
        <f t="shared" si="0"/>
        <v>1616.4285714285713</v>
      </c>
      <c r="I25" s="97">
        <f t="shared" si="1"/>
        <v>134702.38095238095</v>
      </c>
      <c r="J25" s="91">
        <f t="shared" si="17"/>
        <v>136702.38095238095</v>
      </c>
      <c r="K25" s="98">
        <f t="shared" si="2"/>
        <v>1640428.5714285714</v>
      </c>
      <c r="L25" s="93">
        <f t="shared" si="18"/>
        <v>139202.38095238095</v>
      </c>
      <c r="M25" s="94">
        <f>IF($D$4="",0,IF($L25=0,0,VLOOKUP($L25,'3-1.標準報酬月額・保険料表'!$N$8:$O$57,2,TRUE)))</f>
        <v>142000</v>
      </c>
      <c r="N25" s="187">
        <f t="shared" si="3"/>
        <v>0</v>
      </c>
      <c r="O25" s="94">
        <f t="shared" si="4"/>
        <v>0</v>
      </c>
      <c r="P25" s="187">
        <f t="shared" si="5"/>
        <v>134702.38095238095</v>
      </c>
      <c r="Q25" s="61">
        <f>IF($D$4="",0,IF($G25&lt;20,0,IF($Q$13="",0,IF($Q$13=2,0,IF($P25&lt;$R$13,0,IF($M25&lt;=620000,VLOOKUP($M25,'3-1.標準報酬月額・保険料表'!$D$8:$L$42,9,FALSE),'3-1.標準報酬月額・保険料表'!$L$42)+ROUNDDOWN($O25*$W$7,0))))))</f>
        <v>12993</v>
      </c>
      <c r="R25" s="50">
        <f>IF($D$4="",0,IF($G25&lt;20,0,IF($O$9="",0,IF($Q$13=2,0,IF($D$10&gt;=$S$13,0,IF($P25&lt;$R$13,0,VLOOKUP($M25,'3-1.標準報酬月額・保険料表'!$D$8:$J$57,6,FALSE)+ROUNDDOWN($O25*$T$7,0)))))))</f>
        <v>7305.9000000000005</v>
      </c>
      <c r="S25" s="50">
        <f>IF($D$4="",0,IF($G25&lt;20,0,IF($Q$13="",0,IF($Q$13=2,0,IF($D$10&lt;$S$13,0,IF($P25&lt;$R$13,0,VLOOKUP($M25,'3-1.標準報酬月額・保険料表'!$D$8:$J$57,7,FALSE)+ROUNDDOWN($O25*$U$7,0)))))))</f>
        <v>0</v>
      </c>
      <c r="T25" s="66">
        <f t="shared" si="19"/>
        <v>20298.900000000001</v>
      </c>
      <c r="U25" s="71">
        <f>IF($D$4="",0,IF($U$13="",0,IF($U$13=1,0,IF($G25&lt;$W$13,0,IF($K25&lt;$V$13,0,IF($M25&lt;=620000,VLOOKUP($M25,'3-1.標準報酬月額・保険料表'!$D$8:$L$42,9,FALSE),'3-1.標準報酬月額・保険料表'!$L$42)+ROUNDDOWN($O25*$W$7,0))))))</f>
        <v>0</v>
      </c>
      <c r="V25" s="72">
        <f>IF($D$4="",0,IF($U$13="",0,IF($U$13=1,0,IF($G25&lt;$W$13,0,IF($K25&lt;$V$13,0,IF($D$10&gt;=$X$13,0,VLOOKUP($M25,'3-1.標準報酬月額・保険料表'!$D$8:$J$57,6,FALSE)+ROUNDDOWN($O25*$T$7,0)))))))</f>
        <v>0</v>
      </c>
      <c r="W25" s="72">
        <f>IF($D$4="",0,IF($U$13="",0,IF($U$13=1,0,IF($G25&lt;$W$13,0,IF($K25&lt;$V$13,0,IF($D$10&lt;$X$13,0,VLOOKUP($M25,'3-1.標準報酬月額・保険料表'!$D$8:$J$57,7,FALSE)+ROUNDDOWN($O25*$U$7,0)))))))</f>
        <v>0</v>
      </c>
      <c r="X25" s="73">
        <f t="shared" si="20"/>
        <v>0</v>
      </c>
      <c r="Y25" s="63">
        <f t="shared" si="6"/>
        <v>9842.5714285714275</v>
      </c>
      <c r="Z25" s="68">
        <f t="shared" si="21"/>
        <v>253429.37142857144</v>
      </c>
      <c r="AA25" s="152">
        <f>IF($D$4="","",VLOOKUP($K25,'3-2.所得算出参照表'!K$5:L$10,2,TRUE))</f>
        <v>1800000</v>
      </c>
      <c r="AB25" s="153">
        <f>IF($AA25="",0,IF($AA25='3-2.所得算出参照表'!$B$5,'3-2.所得算出参照表'!$E$5,IF('4-3.手当等支給メニュー (３年目or２年目)'!$AA25='3-2.所得算出参照表'!$B$6,'4-3.手当等支給メニュー (３年目or２年目)'!$K25*'3-2.所得算出参照表'!$E$6+'3-2.所得算出参照表'!$G$6,IF('4-3.手当等支給メニュー (３年目or２年目)'!$AA25='3-2.所得算出参照表'!$B$7,'4-3.手当等支給メニュー (３年目or２年目)'!$K25*'3-2.所得算出参照表'!$E$7+'3-2.所得算出参照表'!$G$7,IF('4-3.手当等支給メニュー (３年目or２年目)'!$AA25='3-2.所得算出参照表'!$B$8,'4-3.手当等支給メニュー (３年目or２年目)'!$K25*'3-2.所得算出参照表'!$E$8+'3-2.所得算出参照表'!$G$8,IF('4-3.手当等支給メニュー (３年目or２年目)'!$AA25='3-2.所得算出参照表'!$B$9,'4-3.手当等支給メニュー (３年目or２年目)'!$K25*'3-2.所得算出参照表'!$E$9+'3-2.所得算出参照表'!$G$9,IF($AA25='3-2.所得算出参照表'!$B$10,'3-2.所得算出参照表'!$G$10)))))))</f>
        <v>556171.42857142864</v>
      </c>
      <c r="AC25" s="115">
        <f t="shared" si="7"/>
        <v>480000</v>
      </c>
      <c r="AD25" s="110">
        <f t="shared" si="8"/>
        <v>350000</v>
      </c>
      <c r="AE25" s="155">
        <f>VLOOKUP($AD25,'3-2.所得算出参照表'!$N$4:$O$11,2,TRUE)</f>
        <v>0.05</v>
      </c>
      <c r="AF25" s="110">
        <f>VLOOKUP($AD25,'3-2.所得算出参照表'!$P$4:$Q$11,2,TRUE)</f>
        <v>0</v>
      </c>
      <c r="AG25" s="110">
        <f t="shared" si="27"/>
        <v>17500</v>
      </c>
      <c r="AH25" s="110">
        <f>$AG25*'3-2.所得算出参照表'!$D$14</f>
        <v>367.5</v>
      </c>
      <c r="AI25" s="124">
        <f t="shared" si="28"/>
        <v>17800</v>
      </c>
      <c r="AJ25" s="132">
        <f>IF($AA25="",0,IF($AA25='3-2.所得算出参照表'!$B$5,'3-2.所得算出参照表'!$E$5,IF('4-3.手当等支給メニュー (３年目or２年目)'!$AA25='3-2.所得算出参照表'!$B$6,'4-3.手当等支給メニュー (３年目or２年目)'!$K25*'3-2.所得算出参照表'!$E$6+'3-2.所得算出参照表'!$G$6,IF('4-3.手当等支給メニュー (３年目or２年目)'!$AA25='3-2.所得算出参照表'!$B$7,'4-3.手当等支給メニュー (３年目or２年目)'!$K25*'3-2.所得算出参照表'!$E$7+'3-2.所得算出参照表'!$G$7,IF('4-3.手当等支給メニュー (３年目or２年目)'!$AA25='3-2.所得算出参照表'!$B$8,'4-3.手当等支給メニュー (３年目or２年目)'!$K25*'3-2.所得算出参照表'!$E$8+'3-2.所得算出参照表'!$G$8,IF('4-3.手当等支給メニュー (３年目or２年目)'!$AA25='3-2.所得算出参照表'!$B$9,'4-3.手当等支給メニュー (３年目or２年目)'!$K25*'3-2.所得算出参照表'!$E$9+'3-2.所得算出参照表'!$G$9,IF($AA25='3-2.所得算出参照表'!$B$10,'3-2.所得算出参照表'!$G$10)))))))</f>
        <v>556171.42857142864</v>
      </c>
      <c r="AK25" s="72">
        <f t="shared" si="9"/>
        <v>430000</v>
      </c>
      <c r="AL25" s="120">
        <f t="shared" si="10"/>
        <v>400000</v>
      </c>
      <c r="AM25" s="120">
        <f t="shared" si="11"/>
        <v>5500</v>
      </c>
      <c r="AN25" s="121">
        <f t="shared" si="12"/>
        <v>0.1</v>
      </c>
      <c r="AO25" s="128">
        <f t="shared" si="24"/>
        <v>43000</v>
      </c>
      <c r="AP25" s="145">
        <f t="shared" si="13"/>
        <v>1326199.2</v>
      </c>
    </row>
    <row r="26" spans="2:42" ht="21.95" customHeight="1" x14ac:dyDescent="0.15">
      <c r="B26" s="100">
        <v>12</v>
      </c>
      <c r="C26" s="486">
        <f t="shared" si="14"/>
        <v>1000</v>
      </c>
      <c r="D26" s="489">
        <f t="shared" si="15"/>
        <v>0</v>
      </c>
      <c r="E26" s="488">
        <f t="shared" si="16"/>
        <v>1000</v>
      </c>
      <c r="F26" s="447">
        <f t="shared" si="25"/>
        <v>11</v>
      </c>
      <c r="G26" s="85">
        <f t="shared" si="26"/>
        <v>32</v>
      </c>
      <c r="H26" s="198">
        <f t="shared" si="0"/>
        <v>1668.5714285714287</v>
      </c>
      <c r="I26" s="97">
        <f t="shared" si="1"/>
        <v>139047.61904761905</v>
      </c>
      <c r="J26" s="91">
        <f t="shared" si="17"/>
        <v>141047.61904761905</v>
      </c>
      <c r="K26" s="98">
        <f t="shared" si="2"/>
        <v>1692571.4285714286</v>
      </c>
      <c r="L26" s="93">
        <f t="shared" si="18"/>
        <v>143547.61904761905</v>
      </c>
      <c r="M26" s="94">
        <f>IF($D$4="",0,IF($L26=0,0,VLOOKUP($L26,'3-1.標準報酬月額・保険料表'!$N$8:$O$57,2,TRUE)))</f>
        <v>142000</v>
      </c>
      <c r="N26" s="187">
        <f t="shared" si="3"/>
        <v>0</v>
      </c>
      <c r="O26" s="94">
        <f t="shared" si="4"/>
        <v>0</v>
      </c>
      <c r="P26" s="187">
        <f t="shared" si="5"/>
        <v>139047.61904761905</v>
      </c>
      <c r="Q26" s="61">
        <f>IF($D$4="",0,IF($G26&lt;20,0,IF($Q$13="",0,IF($Q$13=2,0,IF($P26&lt;$R$13,0,IF($M26&lt;=620000,VLOOKUP($M26,'3-1.標準報酬月額・保険料表'!$D$8:$L$42,9,FALSE),'3-1.標準報酬月額・保険料表'!$L$42)+ROUNDDOWN($O26*$W$7,0))))))</f>
        <v>12993</v>
      </c>
      <c r="R26" s="50">
        <f>IF($D$4="",0,IF($G26&lt;20,0,IF($O$9="",0,IF($Q$13=2,0,IF($D$10&gt;=$S$13,0,IF($P26&lt;$R$13,0,VLOOKUP($M26,'3-1.標準報酬月額・保険料表'!$D$8:$J$57,6,FALSE)+ROUNDDOWN($O26*$T$7,0)))))))</f>
        <v>7305.9000000000005</v>
      </c>
      <c r="S26" s="50">
        <f>IF($D$4="",0,IF($G26&lt;20,0,IF($Q$13="",0,IF($Q$13=2,0,IF($D$10&lt;$S$13,0,IF($P26&lt;$R$13,0,VLOOKUP($M26,'3-1.標準報酬月額・保険料表'!$D$8:$J$57,7,FALSE)+ROUNDDOWN($O26*$U$7,0)))))))</f>
        <v>0</v>
      </c>
      <c r="T26" s="66">
        <f t="shared" si="19"/>
        <v>20298.900000000001</v>
      </c>
      <c r="U26" s="71">
        <f>IF($D$4="",0,IF($U$13="",0,IF($U$13=1,0,IF($G26&lt;$W$13,0,IF($K26&lt;$V$13,0,IF($M26&lt;=620000,VLOOKUP($M26,'3-1.標準報酬月額・保険料表'!$D$8:$L$42,9,FALSE),'3-1.標準報酬月額・保険料表'!$L$42)+ROUNDDOWN($O26*$W$7,0))))))</f>
        <v>0</v>
      </c>
      <c r="V26" s="72">
        <f>IF($D$4="",0,IF($U$13="",0,IF($U$13=1,0,IF($G26&lt;$W$13,0,IF($K26&lt;$V$13,0,IF($D$10&gt;=$X$13,0,VLOOKUP($M26,'3-1.標準報酬月額・保険料表'!$D$8:$J$57,6,FALSE)+ROUNDDOWN($O26*$T$7,0)))))))</f>
        <v>0</v>
      </c>
      <c r="W26" s="72">
        <f>IF($D$4="",0,IF($U$13="",0,IF($U$13=1,0,IF($G26&lt;$W$13,0,IF($K26&lt;$V$13,0,IF($D$10&lt;$X$13,0,VLOOKUP($M26,'3-1.標準報酬月額・保険料表'!$D$8:$J$57,7,FALSE)+ROUNDDOWN($O26*$U$7,0)))))))</f>
        <v>0</v>
      </c>
      <c r="X26" s="73">
        <f t="shared" si="20"/>
        <v>0</v>
      </c>
      <c r="Y26" s="63">
        <f t="shared" si="6"/>
        <v>10155.428571428572</v>
      </c>
      <c r="Z26" s="68">
        <f t="shared" si="21"/>
        <v>253742.2285714286</v>
      </c>
      <c r="AA26" s="152">
        <f>IF($D$4="","",VLOOKUP($K26,'3-2.所得算出参照表'!K$5:L$10,2,TRUE))</f>
        <v>1800000</v>
      </c>
      <c r="AB26" s="153">
        <f>IF($AA26="",0,IF($AA26='3-2.所得算出参照表'!$B$5,'3-2.所得算出参照表'!$E$5,IF('4-3.手当等支給メニュー (３年目or２年目)'!$AA26='3-2.所得算出参照表'!$B$6,'4-3.手当等支給メニュー (３年目or２年目)'!$K26*'3-2.所得算出参照表'!$E$6+'3-2.所得算出参照表'!$G$6,IF('4-3.手当等支給メニュー (３年目or２年目)'!$AA26='3-2.所得算出参照表'!$B$7,'4-3.手当等支給メニュー (３年目or２年目)'!$K26*'3-2.所得算出参照表'!$E$7+'3-2.所得算出参照表'!$G$7,IF('4-3.手当等支給メニュー (３年目or２年目)'!$AA26='3-2.所得算出参照表'!$B$8,'4-3.手当等支給メニュー (３年目or２年目)'!$K26*'3-2.所得算出参照表'!$E$8+'3-2.所得算出参照表'!$G$8,IF('4-3.手当等支給メニュー (３年目or２年目)'!$AA26='3-2.所得算出参照表'!$B$9,'4-3.手当等支給メニュー (３年目or２年目)'!$K26*'3-2.所得算出参照表'!$E$9+'3-2.所得算出参照表'!$G$9,IF($AA26='3-2.所得算出参照表'!$B$10,'3-2.所得算出参照表'!$G$10)))))))</f>
        <v>577028.57142857148</v>
      </c>
      <c r="AC26" s="115">
        <f t="shared" si="7"/>
        <v>480000</v>
      </c>
      <c r="AD26" s="110">
        <f t="shared" si="8"/>
        <v>381000</v>
      </c>
      <c r="AE26" s="155">
        <f>VLOOKUP($AD26,'3-2.所得算出参照表'!$N$4:$O$11,2,TRUE)</f>
        <v>0.05</v>
      </c>
      <c r="AF26" s="110">
        <f>VLOOKUP($AD26,'3-2.所得算出参照表'!$P$4:$Q$11,2,TRUE)</f>
        <v>0</v>
      </c>
      <c r="AG26" s="110">
        <f t="shared" si="27"/>
        <v>19050</v>
      </c>
      <c r="AH26" s="110">
        <f>$AG26*'3-2.所得算出参照表'!$D$14</f>
        <v>400.05</v>
      </c>
      <c r="AI26" s="124">
        <f t="shared" si="28"/>
        <v>19400</v>
      </c>
      <c r="AJ26" s="132">
        <f>IF($AA26="",0,IF($AA26='3-2.所得算出参照表'!$B$5,'3-2.所得算出参照表'!$E$5,IF('4-3.手当等支給メニュー (３年目or２年目)'!$AA26='3-2.所得算出参照表'!$B$6,'4-3.手当等支給メニュー (３年目or２年目)'!$K26*'3-2.所得算出参照表'!$E$6+'3-2.所得算出参照表'!$G$6,IF('4-3.手当等支給メニュー (３年目or２年目)'!$AA26='3-2.所得算出参照表'!$B$7,'4-3.手当等支給メニュー (３年目or２年目)'!$K26*'3-2.所得算出参照表'!$E$7+'3-2.所得算出参照表'!$G$7,IF('4-3.手当等支給メニュー (３年目or２年目)'!$AA26='3-2.所得算出参照表'!$B$8,'4-3.手当等支給メニュー (３年目or２年目)'!$K26*'3-2.所得算出参照表'!$E$8+'3-2.所得算出参照表'!$G$8,IF('4-3.手当等支給メニュー (３年目or２年目)'!$AA26='3-2.所得算出参照表'!$B$9,'4-3.手当等支給メニュー (３年目or２年目)'!$K26*'3-2.所得算出参照表'!$E$9+'3-2.所得算出参照表'!$G$9,IF($AA26='3-2.所得算出参照表'!$B$10,'3-2.所得算出参照表'!$G$10)))))))</f>
        <v>577028.57142857148</v>
      </c>
      <c r="AK26" s="72">
        <f t="shared" si="9"/>
        <v>430000</v>
      </c>
      <c r="AL26" s="120">
        <f t="shared" si="10"/>
        <v>431000</v>
      </c>
      <c r="AM26" s="120">
        <f t="shared" si="11"/>
        <v>5500</v>
      </c>
      <c r="AN26" s="121">
        <f t="shared" si="12"/>
        <v>0.1</v>
      </c>
      <c r="AO26" s="128">
        <f t="shared" si="24"/>
        <v>46100</v>
      </c>
      <c r="AP26" s="145">
        <f t="shared" si="13"/>
        <v>1373329.2</v>
      </c>
    </row>
    <row r="27" spans="2:42" ht="21.95" customHeight="1" x14ac:dyDescent="0.15">
      <c r="B27" s="101">
        <v>13</v>
      </c>
      <c r="C27" s="486">
        <f t="shared" si="14"/>
        <v>1000</v>
      </c>
      <c r="D27" s="489">
        <f t="shared" si="15"/>
        <v>0</v>
      </c>
      <c r="E27" s="488">
        <f t="shared" si="16"/>
        <v>1000</v>
      </c>
      <c r="F27" s="447">
        <f t="shared" si="25"/>
        <v>12</v>
      </c>
      <c r="G27" s="85">
        <f t="shared" si="26"/>
        <v>33</v>
      </c>
      <c r="H27" s="198">
        <f t="shared" si="0"/>
        <v>1720.7142857142858</v>
      </c>
      <c r="I27" s="97">
        <f t="shared" si="1"/>
        <v>143392.85714285713</v>
      </c>
      <c r="J27" s="91">
        <f t="shared" si="17"/>
        <v>145392.85714285713</v>
      </c>
      <c r="K27" s="98">
        <f t="shared" si="2"/>
        <v>1744714.2857142854</v>
      </c>
      <c r="L27" s="93">
        <f t="shared" si="18"/>
        <v>147892.85714285713</v>
      </c>
      <c r="M27" s="94">
        <f>IF($D$4="",0,IF($L27=0,0,VLOOKUP($L27,'3-1.標準報酬月額・保険料表'!$N$8:$O$57,2,TRUE)))</f>
        <v>150000</v>
      </c>
      <c r="N27" s="187">
        <f t="shared" si="3"/>
        <v>0</v>
      </c>
      <c r="O27" s="94">
        <f t="shared" si="4"/>
        <v>0</v>
      </c>
      <c r="P27" s="187">
        <f t="shared" si="5"/>
        <v>143392.85714285713</v>
      </c>
      <c r="Q27" s="61">
        <f>IF($D$4="",0,IF($G27&lt;20,0,IF($Q$13="",0,IF($Q$13=2,0,IF($P27&lt;$R$13,0,IF($M27&lt;=620000,VLOOKUP($M27,'3-1.標準報酬月額・保険料表'!$D$8:$L$42,9,FALSE),'3-1.標準報酬月額・保険料表'!$L$42)+ROUNDDOWN($O27*$W$7,0))))))</f>
        <v>13725</v>
      </c>
      <c r="R27" s="50">
        <f>IF($D$4="",0,IF($G27&lt;20,0,IF($O$9="",0,IF($Q$13=2,0,IF($D$10&gt;=$S$13,0,IF($P27&lt;$R$13,0,VLOOKUP($M27,'3-1.標準報酬月額・保険料表'!$D$8:$J$57,6,FALSE)+ROUNDDOWN($O27*$T$7,0)))))))</f>
        <v>7717.5</v>
      </c>
      <c r="S27" s="50">
        <f>IF($D$4="",0,IF($G27&lt;20,0,IF($Q$13="",0,IF($Q$13=2,0,IF($D$10&lt;$S$13,0,IF($P27&lt;$R$13,0,VLOOKUP($M27,'3-1.標準報酬月額・保険料表'!$D$8:$J$57,7,FALSE)+ROUNDDOWN($O27*$U$7,0)))))))</f>
        <v>0</v>
      </c>
      <c r="T27" s="66">
        <f t="shared" si="19"/>
        <v>21442.5</v>
      </c>
      <c r="U27" s="71">
        <f>IF($D$4="",0,IF($U$13="",0,IF($U$13=1,0,IF($G27&lt;$W$13,0,IF($K27&lt;$V$13,0,IF($M27&lt;=620000,VLOOKUP($M27,'3-1.標準報酬月額・保険料表'!$D$8:$L$42,9,FALSE),'3-1.標準報酬月額・保険料表'!$L$42)+ROUNDDOWN($O27*$W$7,0))))))</f>
        <v>0</v>
      </c>
      <c r="V27" s="72">
        <f>IF($D$4="",0,IF($U$13="",0,IF($U$13=1,0,IF($G27&lt;$W$13,0,IF($K27&lt;$V$13,0,IF($D$10&gt;=$X$13,0,VLOOKUP($M27,'3-1.標準報酬月額・保険料表'!$D$8:$J$57,6,FALSE)+ROUNDDOWN($O27*$T$7,0)))))))</f>
        <v>0</v>
      </c>
      <c r="W27" s="72">
        <f>IF($D$4="",0,IF($U$13="",0,IF($U$13=1,0,IF($G27&lt;$W$13,0,IF($K27&lt;$V$13,0,IF($D$10&lt;$X$13,0,VLOOKUP($M27,'3-1.標準報酬月額・保険料表'!$D$8:$J$57,7,FALSE)+ROUNDDOWN($O27*$U$7,0)))))))</f>
        <v>0</v>
      </c>
      <c r="X27" s="73">
        <f>SUM($U27:$W27)</f>
        <v>0</v>
      </c>
      <c r="Y27" s="63">
        <f t="shared" si="6"/>
        <v>10468.285714285714</v>
      </c>
      <c r="Z27" s="68">
        <f t="shared" si="21"/>
        <v>267778.28571428574</v>
      </c>
      <c r="AA27" s="152">
        <f>IF($D$4="","",VLOOKUP($K27,'3-2.所得算出参照表'!K$5:L$10,2,TRUE))</f>
        <v>1800000</v>
      </c>
      <c r="AB27" s="153">
        <f>IF($AA27="",0,IF($AA27='3-2.所得算出参照表'!$B$5,'3-2.所得算出参照表'!$E$5,IF('4-3.手当等支給メニュー (３年目or２年目)'!$AA27='3-2.所得算出参照表'!$B$6,'4-3.手当等支給メニュー (３年目or２年目)'!$K27*'3-2.所得算出参照表'!$E$6+'3-2.所得算出参照表'!$G$6,IF('4-3.手当等支給メニュー (３年目or２年目)'!$AA27='3-2.所得算出参照表'!$B$7,'4-3.手当等支給メニュー (３年目or２年目)'!$K27*'3-2.所得算出参照表'!$E$7+'3-2.所得算出参照表'!$G$7,IF('4-3.手当等支給メニュー (３年目or２年目)'!$AA27='3-2.所得算出参照表'!$B$8,'4-3.手当等支給メニュー (３年目or２年目)'!$K27*'3-2.所得算出参照表'!$E$8+'3-2.所得算出参照表'!$G$8,IF('4-3.手当等支給メニュー (３年目or２年目)'!$AA27='3-2.所得算出参照表'!$B$9,'4-3.手当等支給メニュー (３年目or２年目)'!$K27*'3-2.所得算出参照表'!$E$9+'3-2.所得算出参照表'!$G$9,IF($AA27='3-2.所得算出参照表'!$B$10,'3-2.所得算出参照表'!$G$10)))))))</f>
        <v>597885.7142857142</v>
      </c>
      <c r="AC27" s="115">
        <f t="shared" si="7"/>
        <v>480000</v>
      </c>
      <c r="AD27" s="110">
        <f t="shared" si="8"/>
        <v>399000</v>
      </c>
      <c r="AE27" s="155">
        <f>VLOOKUP($AD27,'3-2.所得算出参照表'!$N$4:$O$11,2,TRUE)</f>
        <v>0.05</v>
      </c>
      <c r="AF27" s="110">
        <f>VLOOKUP($AD27,'3-2.所得算出参照表'!$P$4:$Q$11,2,TRUE)</f>
        <v>0</v>
      </c>
      <c r="AG27" s="110">
        <f t="shared" si="27"/>
        <v>19950</v>
      </c>
      <c r="AH27" s="110">
        <f>$AG27*'3-2.所得算出参照表'!$D$14</f>
        <v>418.95000000000005</v>
      </c>
      <c r="AI27" s="124">
        <f t="shared" si="28"/>
        <v>20300</v>
      </c>
      <c r="AJ27" s="132">
        <f>IF($AA27="",0,IF($AA27='3-2.所得算出参照表'!$B$5,'3-2.所得算出参照表'!$E$5,IF('4-3.手当等支給メニュー (３年目or２年目)'!$AA27='3-2.所得算出参照表'!$B$6,'4-3.手当等支給メニュー (３年目or２年目)'!$K27*'3-2.所得算出参照表'!$E$6+'3-2.所得算出参照表'!$G$6,IF('4-3.手当等支給メニュー (３年目or２年目)'!$AA27='3-2.所得算出参照表'!$B$7,'4-3.手当等支給メニュー (３年目or２年目)'!$K27*'3-2.所得算出参照表'!$E$7+'3-2.所得算出参照表'!$G$7,IF('4-3.手当等支給メニュー (３年目or２年目)'!$AA27='3-2.所得算出参照表'!$B$8,'4-3.手当等支給メニュー (３年目or２年目)'!$K27*'3-2.所得算出参照表'!$E$8+'3-2.所得算出参照表'!$G$8,IF('4-3.手当等支給メニュー (３年目or２年目)'!$AA27='3-2.所得算出参照表'!$B$9,'4-3.手当等支給メニュー (３年目or２年目)'!$K27*'3-2.所得算出参照表'!$E$9+'3-2.所得算出参照表'!$G$9,IF($AA27='3-2.所得算出参照表'!$B$10,'3-2.所得算出参照表'!$G$10)))))))</f>
        <v>597885.7142857142</v>
      </c>
      <c r="AK27" s="72">
        <f t="shared" si="9"/>
        <v>430000</v>
      </c>
      <c r="AL27" s="120">
        <f t="shared" si="10"/>
        <v>449000</v>
      </c>
      <c r="AM27" s="120">
        <f t="shared" si="11"/>
        <v>5500</v>
      </c>
      <c r="AN27" s="121">
        <f t="shared" si="12"/>
        <v>0.1</v>
      </c>
      <c r="AO27" s="128">
        <f t="shared" si="24"/>
        <v>47900</v>
      </c>
      <c r="AP27" s="145">
        <f t="shared" si="13"/>
        <v>1408735.9999999998</v>
      </c>
    </row>
    <row r="28" spans="2:42" ht="21.95" customHeight="1" x14ac:dyDescent="0.15">
      <c r="B28" s="101">
        <v>14</v>
      </c>
      <c r="C28" s="486">
        <f t="shared" si="14"/>
        <v>1000</v>
      </c>
      <c r="D28" s="489">
        <f t="shared" si="15"/>
        <v>0</v>
      </c>
      <c r="E28" s="488">
        <f t="shared" si="16"/>
        <v>1000</v>
      </c>
      <c r="F28" s="447">
        <f t="shared" si="25"/>
        <v>13</v>
      </c>
      <c r="G28" s="85">
        <f t="shared" si="26"/>
        <v>34</v>
      </c>
      <c r="H28" s="198">
        <f t="shared" si="0"/>
        <v>1772.8571428571429</v>
      </c>
      <c r="I28" s="97">
        <f t="shared" si="1"/>
        <v>147738.09523809524</v>
      </c>
      <c r="J28" s="91">
        <f t="shared" si="17"/>
        <v>149738.09523809524</v>
      </c>
      <c r="K28" s="98">
        <f t="shared" si="2"/>
        <v>1796857.1428571427</v>
      </c>
      <c r="L28" s="93">
        <f t="shared" si="18"/>
        <v>152238.09523809524</v>
      </c>
      <c r="M28" s="94">
        <f>IF($D$4="",0,IF($L28=0,0,VLOOKUP($L28,'3-1.標準報酬月額・保険料表'!$N$8:$O$57,2,TRUE)))</f>
        <v>150000</v>
      </c>
      <c r="N28" s="187">
        <f t="shared" si="3"/>
        <v>0</v>
      </c>
      <c r="O28" s="94">
        <f t="shared" si="4"/>
        <v>0</v>
      </c>
      <c r="P28" s="187">
        <f t="shared" si="5"/>
        <v>147738.09523809524</v>
      </c>
      <c r="Q28" s="61">
        <f>IF($D$4="",0,IF($G28&lt;20,0,IF($Q$13="",0,IF($Q$13=2,0,IF($P28&lt;$R$13,0,IF($M28&lt;=620000,VLOOKUP($M28,'3-1.標準報酬月額・保険料表'!$D$8:$L$42,9,FALSE),'3-1.標準報酬月額・保険料表'!$L$42)+ROUNDDOWN($O28*$W$7,0))))))</f>
        <v>13725</v>
      </c>
      <c r="R28" s="50">
        <f>IF($D$4="",0,IF($G28&lt;20,0,IF($O$9="",0,IF($Q$13=2,0,IF($D$10&gt;=$S$13,0,IF($P28&lt;$R$13,0,VLOOKUP($M28,'3-1.標準報酬月額・保険料表'!$D$8:$J$57,6,FALSE)+ROUNDDOWN($O28*$T$7,0)))))))</f>
        <v>7717.5</v>
      </c>
      <c r="S28" s="50">
        <f>IF($D$4="",0,IF($G28&lt;20,0,IF($Q$13="",0,IF($Q$13=2,0,IF($D$10&lt;$S$13,0,IF($P28&lt;$R$13,0,VLOOKUP($M28,'3-1.標準報酬月額・保険料表'!$D$8:$J$57,7,FALSE)+ROUNDDOWN($O28*$U$7,0)))))))</f>
        <v>0</v>
      </c>
      <c r="T28" s="66">
        <f t="shared" si="19"/>
        <v>21442.5</v>
      </c>
      <c r="U28" s="71">
        <f>IF($D$4="",0,IF($U$13="",0,IF($U$13=1,0,IF($G28&lt;$W$13,0,IF($K28&lt;$V$13,0,IF($M28&lt;=620000,VLOOKUP($M28,'3-1.標準報酬月額・保険料表'!$D$8:$L$42,9,FALSE),'3-1.標準報酬月額・保険料表'!$L$42)+ROUNDDOWN($O28*$W$7,0))))))</f>
        <v>0</v>
      </c>
      <c r="V28" s="72">
        <f>IF($D$4="",0,IF($U$13="",0,IF($U$13=1,0,IF($G28&lt;$W$13,0,IF($K28&lt;$V$13,0,IF($D$10&gt;=$X$13,0,VLOOKUP($M28,'3-1.標準報酬月額・保険料表'!$D$8:$J$57,6,FALSE)+ROUNDDOWN($O28*$T$7,0)))))))</f>
        <v>0</v>
      </c>
      <c r="W28" s="72">
        <f>IF($D$4="",0,IF($U$13="",0,IF($U$13=1,0,IF($G28&lt;$W$13,0,IF($K28&lt;$V$13,0,IF($D$10&lt;$X$13,0,VLOOKUP($M28,'3-1.標準報酬月額・保険料表'!$D$8:$J$57,7,FALSE)+ROUNDDOWN($O28*$U$7,0)))))))</f>
        <v>0</v>
      </c>
      <c r="X28" s="73">
        <f t="shared" si="20"/>
        <v>0</v>
      </c>
      <c r="Y28" s="63">
        <f t="shared" si="6"/>
        <v>10781.142857142857</v>
      </c>
      <c r="Z28" s="68">
        <f t="shared" si="21"/>
        <v>268091.14285714284</v>
      </c>
      <c r="AA28" s="152">
        <f>IF($D$4="","",VLOOKUP($K28,'3-2.所得算出参照表'!K$5:L$10,2,TRUE))</f>
        <v>1800000</v>
      </c>
      <c r="AB28" s="153">
        <f>IF($AA28="",0,IF($AA28='3-2.所得算出参照表'!$B$5,'3-2.所得算出参照表'!$E$5,IF('4-3.手当等支給メニュー (３年目or２年目)'!$AA28='3-2.所得算出参照表'!$B$6,'4-3.手当等支給メニュー (３年目or２年目)'!$K28*'3-2.所得算出参照表'!$E$6+'3-2.所得算出参照表'!$G$6,IF('4-3.手当等支給メニュー (３年目or２年目)'!$AA28='3-2.所得算出参照表'!$B$7,'4-3.手当等支給メニュー (３年目or２年目)'!$K28*'3-2.所得算出参照表'!$E$7+'3-2.所得算出参照表'!$G$7,IF('4-3.手当等支給メニュー (３年目or２年目)'!$AA28='3-2.所得算出参照表'!$B$8,'4-3.手当等支給メニュー (３年目or２年目)'!$K28*'3-2.所得算出参照表'!$E$8+'3-2.所得算出参照表'!$G$8,IF('4-3.手当等支給メニュー (３年目or２年目)'!$AA28='3-2.所得算出参照表'!$B$9,'4-3.手当等支給メニュー (３年目or２年目)'!$K28*'3-2.所得算出参照表'!$E$9+'3-2.所得算出参照表'!$G$9,IF($AA28='3-2.所得算出参照表'!$B$10,'3-2.所得算出参照表'!$G$10)))))))</f>
        <v>618742.85714285716</v>
      </c>
      <c r="AC28" s="115">
        <f t="shared" si="7"/>
        <v>480000</v>
      </c>
      <c r="AD28" s="110">
        <f t="shared" si="8"/>
        <v>430000</v>
      </c>
      <c r="AE28" s="155">
        <f>VLOOKUP($AD28,'3-2.所得算出参照表'!$N$4:$O$11,2,TRUE)</f>
        <v>0.05</v>
      </c>
      <c r="AF28" s="110">
        <f>VLOOKUP($AD28,'3-2.所得算出参照表'!$P$4:$Q$11,2,TRUE)</f>
        <v>0</v>
      </c>
      <c r="AG28" s="110">
        <f t="shared" si="27"/>
        <v>21500</v>
      </c>
      <c r="AH28" s="110">
        <f>$AG28*'3-2.所得算出参照表'!$D$14</f>
        <v>451.5</v>
      </c>
      <c r="AI28" s="124">
        <f t="shared" si="28"/>
        <v>21900</v>
      </c>
      <c r="AJ28" s="132">
        <f>IF($AA28="",0,IF($AA28='3-2.所得算出参照表'!$B$5,'3-2.所得算出参照表'!$E$5,IF('4-3.手当等支給メニュー (３年目or２年目)'!$AA28='3-2.所得算出参照表'!$B$6,'4-3.手当等支給メニュー (３年目or２年目)'!$K28*'3-2.所得算出参照表'!$E$6+'3-2.所得算出参照表'!$G$6,IF('4-3.手当等支給メニュー (３年目or２年目)'!$AA28='3-2.所得算出参照表'!$B$7,'4-3.手当等支給メニュー (３年目or２年目)'!$K28*'3-2.所得算出参照表'!$E$7+'3-2.所得算出参照表'!$G$7,IF('4-3.手当等支給メニュー (３年目or２年目)'!$AA28='3-2.所得算出参照表'!$B$8,'4-3.手当等支給メニュー (３年目or２年目)'!$K28*'3-2.所得算出参照表'!$E$8+'3-2.所得算出参照表'!$G$8,IF('4-3.手当等支給メニュー (３年目or２年目)'!$AA28='3-2.所得算出参照表'!$B$9,'4-3.手当等支給メニュー (３年目or２年目)'!$K28*'3-2.所得算出参照表'!$E$9+'3-2.所得算出参照表'!$G$9,IF($AA28='3-2.所得算出参照表'!$B$10,'3-2.所得算出参照表'!$G$10)))))))</f>
        <v>618742.85714285716</v>
      </c>
      <c r="AK28" s="72">
        <f t="shared" si="9"/>
        <v>430000</v>
      </c>
      <c r="AL28" s="120">
        <f t="shared" si="10"/>
        <v>480000</v>
      </c>
      <c r="AM28" s="120">
        <f t="shared" si="11"/>
        <v>5500</v>
      </c>
      <c r="AN28" s="121">
        <f t="shared" si="12"/>
        <v>0.1</v>
      </c>
      <c r="AO28" s="128">
        <f t="shared" si="24"/>
        <v>51000</v>
      </c>
      <c r="AP28" s="145">
        <f t="shared" si="13"/>
        <v>1455866</v>
      </c>
    </row>
    <row r="29" spans="2:42" ht="21.95" customHeight="1" x14ac:dyDescent="0.15">
      <c r="B29" s="101">
        <v>15</v>
      </c>
      <c r="C29" s="486">
        <f t="shared" si="14"/>
        <v>1000</v>
      </c>
      <c r="D29" s="489">
        <f t="shared" si="15"/>
        <v>0</v>
      </c>
      <c r="E29" s="488">
        <f t="shared" si="16"/>
        <v>1000</v>
      </c>
      <c r="F29" s="447">
        <f t="shared" si="25"/>
        <v>14</v>
      </c>
      <c r="G29" s="85">
        <f t="shared" si="26"/>
        <v>35</v>
      </c>
      <c r="H29" s="198">
        <f t="shared" si="0"/>
        <v>1825</v>
      </c>
      <c r="I29" s="97">
        <f t="shared" si="1"/>
        <v>152083.33333333334</v>
      </c>
      <c r="J29" s="91">
        <f t="shared" si="17"/>
        <v>154083.33333333334</v>
      </c>
      <c r="K29" s="98">
        <f t="shared" si="2"/>
        <v>1849000</v>
      </c>
      <c r="L29" s="93">
        <f t="shared" si="18"/>
        <v>156583.33333333334</v>
      </c>
      <c r="M29" s="94">
        <f>IF($D$4="",0,IF($L29=0,0,VLOOKUP($L29,'3-1.標準報酬月額・保険料表'!$N$8:$O$57,2,TRUE)))</f>
        <v>160000</v>
      </c>
      <c r="N29" s="187">
        <f t="shared" si="3"/>
        <v>0</v>
      </c>
      <c r="O29" s="94">
        <f t="shared" si="4"/>
        <v>0</v>
      </c>
      <c r="P29" s="187">
        <f t="shared" si="5"/>
        <v>152083.33333333334</v>
      </c>
      <c r="Q29" s="61">
        <f>IF($D$4="",0,IF($G29&lt;20,0,IF($Q$13="",0,IF($Q$13=2,0,IF($P29&lt;$R$13,0,IF($M29&lt;=620000,VLOOKUP($M29,'3-1.標準報酬月額・保険料表'!$D$8:$L$42,9,FALSE),'3-1.標準報酬月額・保険料表'!$L$42)+ROUNDDOWN($O29*$W$7,0))))))</f>
        <v>14640</v>
      </c>
      <c r="R29" s="50">
        <f>IF($D$4="",0,IF($G29&lt;20,0,IF($O$9="",0,IF($Q$13=2,0,IF($D$10&gt;=$S$13,0,IF($P29&lt;$R$13,0,VLOOKUP($M29,'3-1.標準報酬月額・保険料表'!$D$8:$J$57,6,FALSE)+ROUNDDOWN($O29*$T$7,0)))))))</f>
        <v>8232</v>
      </c>
      <c r="S29" s="50">
        <f>IF($D$4="",0,IF($G29&lt;20,0,IF($Q$13="",0,IF($Q$13=2,0,IF($D$10&lt;$S$13,0,IF($P29&lt;$R$13,0,VLOOKUP($M29,'3-1.標準報酬月額・保険料表'!$D$8:$J$57,7,FALSE)+ROUNDDOWN($O29*$U$7,0)))))))</f>
        <v>0</v>
      </c>
      <c r="T29" s="66">
        <f t="shared" si="19"/>
        <v>22872</v>
      </c>
      <c r="U29" s="71">
        <f>IF($D$4="",0,IF($U$13="",0,IF($U$13=1,0,IF($G29&lt;$W$13,0,IF($K29&lt;$V$13,0,IF($M29&lt;=620000,VLOOKUP($M29,'3-1.標準報酬月額・保険料表'!$D$8:$L$42,9,FALSE),'3-1.標準報酬月額・保険料表'!$L$42)+ROUNDDOWN($O29*$W$7,0))))))</f>
        <v>0</v>
      </c>
      <c r="V29" s="72">
        <f>IF($D$4="",0,IF($U$13="",0,IF($U$13=1,0,IF($G29&lt;$W$13,0,IF($K29&lt;$V$13,0,IF($D$10&gt;=$X$13,0,VLOOKUP($M29,'3-1.標準報酬月額・保険料表'!$D$8:$J$57,6,FALSE)+ROUNDDOWN($O29*$T$7,0)))))))</f>
        <v>0</v>
      </c>
      <c r="W29" s="72">
        <f>IF($D$4="",0,IF($U$13="",0,IF($U$13=1,0,IF($G29&lt;$W$13,0,IF($K29&lt;$V$13,0,IF($D$10&lt;$X$13,0,VLOOKUP($M29,'3-1.標準報酬月額・保険料表'!$D$8:$J$57,7,FALSE)+ROUNDDOWN($O29*$U$7,0)))))))</f>
        <v>0</v>
      </c>
      <c r="X29" s="73">
        <f t="shared" si="20"/>
        <v>0</v>
      </c>
      <c r="Y29" s="63">
        <f t="shared" si="6"/>
        <v>11094</v>
      </c>
      <c r="Z29" s="68">
        <f t="shared" si="21"/>
        <v>285558</v>
      </c>
      <c r="AA29" s="152">
        <f>IF($D$4="","",VLOOKUP($K29,'3-2.所得算出参照表'!K$5:L$10,2,TRUE))</f>
        <v>3600000</v>
      </c>
      <c r="AB29" s="153">
        <f>IF($AA29="",0,IF($AA29='3-2.所得算出参照表'!$B$5,'3-2.所得算出参照表'!$E$5,IF('4-3.手当等支給メニュー (３年目or２年目)'!$AA29='3-2.所得算出参照表'!$B$6,'4-3.手当等支給メニュー (３年目or２年目)'!$K29*'3-2.所得算出参照表'!$E$6+'3-2.所得算出参照表'!$G$6,IF('4-3.手当等支給メニュー (３年目or２年目)'!$AA29='3-2.所得算出参照表'!$B$7,'4-3.手当等支給メニュー (３年目or２年目)'!$K29*'3-2.所得算出参照表'!$E$7+'3-2.所得算出参照表'!$G$7,IF('4-3.手当等支給メニュー (３年目or２年目)'!$AA29='3-2.所得算出参照表'!$B$8,'4-3.手当等支給メニュー (３年目or２年目)'!$K29*'3-2.所得算出参照表'!$E$8+'3-2.所得算出参照表'!$G$8,IF('4-3.手当等支給メニュー (３年目or２年目)'!$AA29='3-2.所得算出参照表'!$B$9,'4-3.手当等支給メニュー (３年目or２年目)'!$K29*'3-2.所得算出参照表'!$E$9+'3-2.所得算出参照表'!$G$9,IF($AA29='3-2.所得算出参照表'!$B$10,'3-2.所得算出参照表'!$G$10)))))))</f>
        <v>634700</v>
      </c>
      <c r="AC29" s="115">
        <f t="shared" si="7"/>
        <v>480000</v>
      </c>
      <c r="AD29" s="110">
        <f t="shared" si="8"/>
        <v>448000</v>
      </c>
      <c r="AE29" s="155">
        <f>VLOOKUP($AD29,'3-2.所得算出参照表'!$N$4:$O$11,2,TRUE)</f>
        <v>0.05</v>
      </c>
      <c r="AF29" s="110">
        <f>VLOOKUP($AD29,'3-2.所得算出参照表'!$P$4:$Q$11,2,TRUE)</f>
        <v>0</v>
      </c>
      <c r="AG29" s="110">
        <f t="shared" si="27"/>
        <v>22400</v>
      </c>
      <c r="AH29" s="110">
        <f>$AG29*'3-2.所得算出参照表'!$D$14</f>
        <v>470.40000000000003</v>
      </c>
      <c r="AI29" s="124">
        <f t="shared" si="28"/>
        <v>22800</v>
      </c>
      <c r="AJ29" s="132">
        <f>IF($AA29="",0,IF($AA29='3-2.所得算出参照表'!$B$5,'3-2.所得算出参照表'!$E$5,IF('4-3.手当等支給メニュー (３年目or２年目)'!$AA29='3-2.所得算出参照表'!$B$6,'4-3.手当等支給メニュー (３年目or２年目)'!$K29*'3-2.所得算出参照表'!$E$6+'3-2.所得算出参照表'!$G$6,IF('4-3.手当等支給メニュー (３年目or２年目)'!$AA29='3-2.所得算出参照表'!$B$7,'4-3.手当等支給メニュー (３年目or２年目)'!$K29*'3-2.所得算出参照表'!$E$7+'3-2.所得算出参照表'!$G$7,IF('4-3.手当等支給メニュー (３年目or２年目)'!$AA29='3-2.所得算出参照表'!$B$8,'4-3.手当等支給メニュー (３年目or２年目)'!$K29*'3-2.所得算出参照表'!$E$8+'3-2.所得算出参照表'!$G$8,IF('4-3.手当等支給メニュー (３年目or２年目)'!$AA29='3-2.所得算出参照表'!$B$9,'4-3.手当等支給メニュー (３年目or２年目)'!$K29*'3-2.所得算出参照表'!$E$9+'3-2.所得算出参照表'!$G$9,IF($AA29='3-2.所得算出参照表'!$B$10,'3-2.所得算出参照表'!$G$10)))))))</f>
        <v>634700</v>
      </c>
      <c r="AK29" s="72">
        <f t="shared" si="9"/>
        <v>430000</v>
      </c>
      <c r="AL29" s="120">
        <f t="shared" si="10"/>
        <v>498000</v>
      </c>
      <c r="AM29" s="120">
        <f t="shared" si="11"/>
        <v>5500</v>
      </c>
      <c r="AN29" s="121">
        <f t="shared" si="12"/>
        <v>0.1</v>
      </c>
      <c r="AO29" s="128">
        <f t="shared" si="24"/>
        <v>52800</v>
      </c>
      <c r="AP29" s="145">
        <f t="shared" si="13"/>
        <v>1487842</v>
      </c>
    </row>
    <row r="30" spans="2:42" ht="21.95" customHeight="1" x14ac:dyDescent="0.15">
      <c r="B30" s="100">
        <v>16</v>
      </c>
      <c r="C30" s="486" t="str">
        <f t="shared" si="14"/>
        <v/>
      </c>
      <c r="D30" s="489" t="str">
        <f t="shared" si="15"/>
        <v/>
      </c>
      <c r="E30" s="488" t="str">
        <f t="shared" si="16"/>
        <v/>
      </c>
      <c r="F30" s="447" t="str">
        <f t="shared" si="25"/>
        <v/>
      </c>
      <c r="G30" s="85" t="str">
        <f t="shared" si="26"/>
        <v/>
      </c>
      <c r="H30" s="198" t="str">
        <f t="shared" si="0"/>
        <v/>
      </c>
      <c r="I30" s="97">
        <f t="shared" si="1"/>
        <v>0</v>
      </c>
      <c r="J30" s="91">
        <f t="shared" si="17"/>
        <v>0</v>
      </c>
      <c r="K30" s="98">
        <f t="shared" si="2"/>
        <v>0</v>
      </c>
      <c r="L30" s="93">
        <f t="shared" si="18"/>
        <v>0</v>
      </c>
      <c r="M30" s="94">
        <f>IF($D$4="",0,IF($L30=0,0,VLOOKUP($L30,'3-1.標準報酬月額・保険料表'!$N$8:$O$57,2,TRUE)))</f>
        <v>0</v>
      </c>
      <c r="N30" s="187">
        <f t="shared" si="3"/>
        <v>0</v>
      </c>
      <c r="O30" s="94">
        <f t="shared" si="4"/>
        <v>0</v>
      </c>
      <c r="P30" s="187">
        <f t="shared" si="5"/>
        <v>0</v>
      </c>
      <c r="Q30" s="61">
        <f>IF($D$4="",0,IF($G30&lt;20,0,IF($Q$13="",0,IF($Q$13=2,0,IF($P30&lt;$R$13,0,IF($M30&lt;=620000,VLOOKUP($M30,'3-1.標準報酬月額・保険料表'!$D$8:$L$42,9,FALSE),'3-1.標準報酬月額・保険料表'!$L$42)+ROUNDDOWN($O30*$W$7,0))))))</f>
        <v>0</v>
      </c>
      <c r="R30" s="50">
        <f>IF($D$4="",0,IF($G30&lt;20,0,IF($O$9="",0,IF($Q$13=2,0,IF($D$10&gt;=$S$13,0,IF($P30&lt;$R$13,0,VLOOKUP($M30,'3-1.標準報酬月額・保険料表'!$D$8:$J$57,6,FALSE)+ROUNDDOWN($O30*$T$7,0)))))))</f>
        <v>0</v>
      </c>
      <c r="S30" s="50">
        <f>IF($D$4="",0,IF($G30&lt;20,0,IF($Q$13="",0,IF($Q$13=2,0,IF($D$10&lt;$S$13,0,IF($P30&lt;$R$13,0,VLOOKUP($M30,'3-1.標準報酬月額・保険料表'!$D$8:$J$57,7,FALSE)+ROUNDDOWN($O30*$U$7,0)))))))</f>
        <v>0</v>
      </c>
      <c r="T30" s="66">
        <f t="shared" si="19"/>
        <v>0</v>
      </c>
      <c r="U30" s="71">
        <f>IF($D$4="",0,IF($U$13="",0,IF($U$13=1,0,IF($G30&lt;$W$13,0,IF($K30&lt;$V$13,0,IF($M30&lt;=620000,VLOOKUP($M30,'3-1.標準報酬月額・保険料表'!$D$8:$L$42,9,FALSE),'3-1.標準報酬月額・保険料表'!$L$42)+ROUNDDOWN($O30*$W$7,0))))))</f>
        <v>0</v>
      </c>
      <c r="V30" s="72">
        <f>IF($D$4="",0,IF($U$13="",0,IF($U$13=1,0,IF($G30&lt;$W$13,0,IF($K30&lt;$V$13,0,IF($D$10&gt;=$X$13,0,VLOOKUP($M30,'3-1.標準報酬月額・保険料表'!$D$8:$J$57,6,FALSE)+ROUNDDOWN($O30*$T$7,0)))))))</f>
        <v>0</v>
      </c>
      <c r="W30" s="72">
        <f>IF($D$4="",0,IF($U$13="",0,IF($U$13=1,0,IF($G30&lt;$W$13,0,IF($K30&lt;$V$13,0,IF($D$10&lt;$X$13,0,VLOOKUP($M30,'3-1.標準報酬月額・保険料表'!$D$8:$J$57,7,FALSE)+ROUNDDOWN($O30*$U$7,0)))))))</f>
        <v>0</v>
      </c>
      <c r="X30" s="73">
        <f t="shared" si="20"/>
        <v>0</v>
      </c>
      <c r="Y30" s="63">
        <f t="shared" si="6"/>
        <v>0</v>
      </c>
      <c r="Z30" s="68">
        <f t="shared" si="21"/>
        <v>0</v>
      </c>
      <c r="AA30" s="152">
        <f>IF($D$4="","",VLOOKUP($K30,'3-2.所得算出参照表'!K$5:L$10,2,TRUE))</f>
        <v>1625000</v>
      </c>
      <c r="AB30" s="153">
        <f>IF($AA30="",0,IF($AA30='3-2.所得算出参照表'!$B$5,'3-2.所得算出参照表'!$E$5,IF('4-3.手当等支給メニュー (３年目or２年目)'!$AA30='3-2.所得算出参照表'!$B$6,'4-3.手当等支給メニュー (３年目or２年目)'!$K30*'3-2.所得算出参照表'!$E$6+'3-2.所得算出参照表'!$G$6,IF('4-3.手当等支給メニュー (３年目or２年目)'!$AA30='3-2.所得算出参照表'!$B$7,'4-3.手当等支給メニュー (３年目or２年目)'!$K30*'3-2.所得算出参照表'!$E$7+'3-2.所得算出参照表'!$G$7,IF('4-3.手当等支給メニュー (３年目or２年目)'!$AA30='3-2.所得算出参照表'!$B$8,'4-3.手当等支給メニュー (３年目or２年目)'!$K30*'3-2.所得算出参照表'!$E$8+'3-2.所得算出参照表'!$G$8,IF('4-3.手当等支給メニュー (３年目or２年目)'!$AA30='3-2.所得算出参照表'!$B$9,'4-3.手当等支給メニュー (３年目or２年目)'!$K30*'3-2.所得算出参照表'!$E$9+'3-2.所得算出参照表'!$G$9,IF($AA30='3-2.所得算出参照表'!$B$10,'3-2.所得算出参照表'!$G$10)))))))</f>
        <v>550000</v>
      </c>
      <c r="AC30" s="115">
        <f t="shared" si="7"/>
        <v>480000</v>
      </c>
      <c r="AD30" s="110">
        <f t="shared" si="8"/>
        <v>0</v>
      </c>
      <c r="AE30" s="155">
        <f>VLOOKUP($AD30,'3-2.所得算出参照表'!$N$4:$O$11,2,TRUE)</f>
        <v>0</v>
      </c>
      <c r="AF30" s="110">
        <f>VLOOKUP($AD30,'3-2.所得算出参照表'!$P$4:$Q$11,2,TRUE)</f>
        <v>0</v>
      </c>
      <c r="AG30" s="110">
        <f t="shared" si="27"/>
        <v>0</v>
      </c>
      <c r="AH30" s="110">
        <f>$AG30*'3-2.所得算出参照表'!$D$14</f>
        <v>0</v>
      </c>
      <c r="AI30" s="124">
        <f t="shared" si="28"/>
        <v>0</v>
      </c>
      <c r="AJ30" s="132">
        <f>IF($AA30="",0,IF($AA30='3-2.所得算出参照表'!$B$5,'3-2.所得算出参照表'!$E$5,IF('4-3.手当等支給メニュー (３年目or２年目)'!$AA30='3-2.所得算出参照表'!$B$6,'4-3.手当等支給メニュー (３年目or２年目)'!$K30*'3-2.所得算出参照表'!$E$6+'3-2.所得算出参照表'!$G$6,IF('4-3.手当等支給メニュー (３年目or２年目)'!$AA30='3-2.所得算出参照表'!$B$7,'4-3.手当等支給メニュー (３年目or２年目)'!$K30*'3-2.所得算出参照表'!$E$7+'3-2.所得算出参照表'!$G$7,IF('4-3.手当等支給メニュー (３年目or２年目)'!$AA30='3-2.所得算出参照表'!$B$8,'4-3.手当等支給メニュー (３年目or２年目)'!$K30*'3-2.所得算出参照表'!$E$8+'3-2.所得算出参照表'!$G$8,IF('4-3.手当等支給メニュー (３年目or２年目)'!$AA30='3-2.所得算出参照表'!$B$9,'4-3.手当等支給メニュー (３年目or２年目)'!$K30*'3-2.所得算出参照表'!$E$9+'3-2.所得算出参照表'!$G$9,IF($AA30='3-2.所得算出参照表'!$B$10,'3-2.所得算出参照表'!$G$10)))))))</f>
        <v>550000</v>
      </c>
      <c r="AK30" s="72">
        <f t="shared" si="9"/>
        <v>430000</v>
      </c>
      <c r="AL30" s="120">
        <f t="shared" si="10"/>
        <v>0</v>
      </c>
      <c r="AM30" s="120">
        <f t="shared" si="11"/>
        <v>0</v>
      </c>
      <c r="AN30" s="121">
        <f t="shared" si="12"/>
        <v>0</v>
      </c>
      <c r="AO30" s="128">
        <f t="shared" si="24"/>
        <v>0</v>
      </c>
      <c r="AP30" s="145">
        <f t="shared" si="13"/>
        <v>0</v>
      </c>
    </row>
    <row r="31" spans="2:42" ht="21.95" customHeight="1" x14ac:dyDescent="0.15">
      <c r="B31" s="101">
        <v>17</v>
      </c>
      <c r="C31" s="486" t="str">
        <f t="shared" si="14"/>
        <v/>
      </c>
      <c r="D31" s="489" t="str">
        <f t="shared" si="15"/>
        <v/>
      </c>
      <c r="E31" s="488" t="str">
        <f t="shared" si="16"/>
        <v/>
      </c>
      <c r="F31" s="447" t="str">
        <f t="shared" si="25"/>
        <v/>
      </c>
      <c r="G31" s="85" t="str">
        <f t="shared" si="26"/>
        <v/>
      </c>
      <c r="H31" s="198" t="str">
        <f t="shared" si="0"/>
        <v/>
      </c>
      <c r="I31" s="97">
        <f t="shared" si="1"/>
        <v>0</v>
      </c>
      <c r="J31" s="91">
        <f t="shared" si="17"/>
        <v>0</v>
      </c>
      <c r="K31" s="98">
        <f t="shared" si="2"/>
        <v>0</v>
      </c>
      <c r="L31" s="93">
        <f t="shared" si="18"/>
        <v>0</v>
      </c>
      <c r="M31" s="94">
        <f>IF($D$4="",0,IF($L31=0,0,VLOOKUP($L31,'3-1.標準報酬月額・保険料表'!$N$8:$O$57,2,TRUE)))</f>
        <v>0</v>
      </c>
      <c r="N31" s="187">
        <f t="shared" si="3"/>
        <v>0</v>
      </c>
      <c r="O31" s="94">
        <f t="shared" si="4"/>
        <v>0</v>
      </c>
      <c r="P31" s="187">
        <f t="shared" si="5"/>
        <v>0</v>
      </c>
      <c r="Q31" s="61">
        <f>IF($D$4="",0,IF($G31&lt;20,0,IF($Q$13="",0,IF($Q$13=2,0,IF($P31&lt;$R$13,0,IF($M31&lt;=620000,VLOOKUP($M31,'3-1.標準報酬月額・保険料表'!$D$8:$L$42,9,FALSE),'3-1.標準報酬月額・保険料表'!$L$42)+ROUNDDOWN($O31*$W$7,0))))))</f>
        <v>0</v>
      </c>
      <c r="R31" s="50">
        <f>IF($D$4="",0,IF($G31&lt;20,0,IF($O$9="",0,IF($Q$13=2,0,IF($D$10&gt;=$S$13,0,IF($P31&lt;$R$13,0,VLOOKUP($M31,'3-1.標準報酬月額・保険料表'!$D$8:$J$57,6,FALSE)+ROUNDDOWN($O31*$T$7,0)))))))</f>
        <v>0</v>
      </c>
      <c r="S31" s="50">
        <f>IF($D$4="",0,IF($G31&lt;20,0,IF($Q$13="",0,IF($Q$13=2,0,IF($D$10&lt;$S$13,0,IF($P31&lt;$R$13,0,VLOOKUP($M31,'3-1.標準報酬月額・保険料表'!$D$8:$J$57,7,FALSE)+ROUNDDOWN($O31*$U$7,0)))))))</f>
        <v>0</v>
      </c>
      <c r="T31" s="66">
        <f t="shared" si="19"/>
        <v>0</v>
      </c>
      <c r="U31" s="71">
        <f>IF($D$4="",0,IF($U$13="",0,IF($U$13=1,0,IF($G31&lt;$W$13,0,IF($K31&lt;$V$13,0,IF($M31&lt;=620000,VLOOKUP($M31,'3-1.標準報酬月額・保険料表'!$D$8:$L$42,9,FALSE),'3-1.標準報酬月額・保険料表'!$L$42)+ROUNDDOWN($O31*$W$7,0))))))</f>
        <v>0</v>
      </c>
      <c r="V31" s="72">
        <f>IF($D$4="",0,IF($U$13="",0,IF($U$13=1,0,IF($G31&lt;$W$13,0,IF($K31&lt;$V$13,0,IF($D$10&gt;=$X$13,0,VLOOKUP($M31,'3-1.標準報酬月額・保険料表'!$D$8:$J$57,6,FALSE)+ROUNDDOWN($O31*$T$7,0)))))))</f>
        <v>0</v>
      </c>
      <c r="W31" s="72">
        <f>IF($D$4="",0,IF($U$13="",0,IF($U$13=1,0,IF($G31&lt;$W$13,0,IF($K31&lt;$V$13,0,IF($D$10&lt;$X$13,0,VLOOKUP($M31,'3-1.標準報酬月額・保険料表'!$D$8:$J$57,7,FALSE)+ROUNDDOWN($O31*$U$7,0)))))))</f>
        <v>0</v>
      </c>
      <c r="X31" s="73">
        <f t="shared" si="20"/>
        <v>0</v>
      </c>
      <c r="Y31" s="63">
        <f t="shared" si="6"/>
        <v>0</v>
      </c>
      <c r="Z31" s="68">
        <f t="shared" si="21"/>
        <v>0</v>
      </c>
      <c r="AA31" s="152">
        <f>IF($D$4="","",VLOOKUP($K31,'3-2.所得算出参照表'!K$5:L$10,2,TRUE))</f>
        <v>1625000</v>
      </c>
      <c r="AB31" s="153">
        <f>IF($AA31="",0,IF($AA31='3-2.所得算出参照表'!$B$5,'3-2.所得算出参照表'!$E$5,IF('4-3.手当等支給メニュー (３年目or２年目)'!$AA31='3-2.所得算出参照表'!$B$6,'4-3.手当等支給メニュー (３年目or２年目)'!$K31*'3-2.所得算出参照表'!$E$6+'3-2.所得算出参照表'!$G$6,IF('4-3.手当等支給メニュー (３年目or２年目)'!$AA31='3-2.所得算出参照表'!$B$7,'4-3.手当等支給メニュー (３年目or２年目)'!$K31*'3-2.所得算出参照表'!$E$7+'3-2.所得算出参照表'!$G$7,IF('4-3.手当等支給メニュー (３年目or２年目)'!$AA31='3-2.所得算出参照表'!$B$8,'4-3.手当等支給メニュー (３年目or２年目)'!$K31*'3-2.所得算出参照表'!$E$8+'3-2.所得算出参照表'!$G$8,IF('4-3.手当等支給メニュー (３年目or２年目)'!$AA31='3-2.所得算出参照表'!$B$9,'4-3.手当等支給メニュー (３年目or２年目)'!$K31*'3-2.所得算出参照表'!$E$9+'3-2.所得算出参照表'!$G$9,IF($AA31='3-2.所得算出参照表'!$B$10,'3-2.所得算出参照表'!$G$10)))))))</f>
        <v>550000</v>
      </c>
      <c r="AC31" s="115">
        <f t="shared" si="7"/>
        <v>480000</v>
      </c>
      <c r="AD31" s="110">
        <f t="shared" si="8"/>
        <v>0</v>
      </c>
      <c r="AE31" s="155">
        <f>VLOOKUP($AD31,'3-2.所得算出参照表'!$N$4:$O$11,2,TRUE)</f>
        <v>0</v>
      </c>
      <c r="AF31" s="110">
        <f>VLOOKUP($AD31,'3-2.所得算出参照表'!$P$4:$Q$11,2,TRUE)</f>
        <v>0</v>
      </c>
      <c r="AG31" s="110">
        <f t="shared" si="27"/>
        <v>0</v>
      </c>
      <c r="AH31" s="110">
        <f>$AG31*'3-2.所得算出参照表'!$D$14</f>
        <v>0</v>
      </c>
      <c r="AI31" s="124">
        <f t="shared" si="28"/>
        <v>0</v>
      </c>
      <c r="AJ31" s="132">
        <f>IF($AA31="",0,IF($AA31='3-2.所得算出参照表'!$B$5,'3-2.所得算出参照表'!$E$5,IF('4-3.手当等支給メニュー (３年目or２年目)'!$AA31='3-2.所得算出参照表'!$B$6,'4-3.手当等支給メニュー (３年目or２年目)'!$K31*'3-2.所得算出参照表'!$E$6+'3-2.所得算出参照表'!$G$6,IF('4-3.手当等支給メニュー (３年目or２年目)'!$AA31='3-2.所得算出参照表'!$B$7,'4-3.手当等支給メニュー (３年目or２年目)'!$K31*'3-2.所得算出参照表'!$E$7+'3-2.所得算出参照表'!$G$7,IF('4-3.手当等支給メニュー (３年目or２年目)'!$AA31='3-2.所得算出参照表'!$B$8,'4-3.手当等支給メニュー (３年目or２年目)'!$K31*'3-2.所得算出参照表'!$E$8+'3-2.所得算出参照表'!$G$8,IF('4-3.手当等支給メニュー (３年目or２年目)'!$AA31='3-2.所得算出参照表'!$B$9,'4-3.手当等支給メニュー (３年目or２年目)'!$K31*'3-2.所得算出参照表'!$E$9+'3-2.所得算出参照表'!$G$9,IF($AA31='3-2.所得算出参照表'!$B$10,'3-2.所得算出参照表'!$G$10)))))))</f>
        <v>550000</v>
      </c>
      <c r="AK31" s="72">
        <f t="shared" si="9"/>
        <v>430000</v>
      </c>
      <c r="AL31" s="120">
        <f t="shared" si="10"/>
        <v>0</v>
      </c>
      <c r="AM31" s="120">
        <f t="shared" si="11"/>
        <v>0</v>
      </c>
      <c r="AN31" s="121">
        <f t="shared" si="12"/>
        <v>0</v>
      </c>
      <c r="AO31" s="128">
        <f t="shared" si="24"/>
        <v>0</v>
      </c>
      <c r="AP31" s="145">
        <f t="shared" si="13"/>
        <v>0</v>
      </c>
    </row>
    <row r="32" spans="2:42" ht="21.95" customHeight="1" x14ac:dyDescent="0.15">
      <c r="B32" s="101">
        <v>18</v>
      </c>
      <c r="C32" s="486" t="str">
        <f t="shared" si="14"/>
        <v/>
      </c>
      <c r="D32" s="489" t="str">
        <f t="shared" si="15"/>
        <v/>
      </c>
      <c r="E32" s="488" t="str">
        <f t="shared" si="16"/>
        <v/>
      </c>
      <c r="F32" s="447" t="str">
        <f t="shared" si="25"/>
        <v/>
      </c>
      <c r="G32" s="85" t="str">
        <f t="shared" si="26"/>
        <v/>
      </c>
      <c r="H32" s="198" t="str">
        <f t="shared" si="0"/>
        <v/>
      </c>
      <c r="I32" s="97">
        <f t="shared" si="1"/>
        <v>0</v>
      </c>
      <c r="J32" s="91">
        <f t="shared" si="17"/>
        <v>0</v>
      </c>
      <c r="K32" s="98">
        <f t="shared" si="2"/>
        <v>0</v>
      </c>
      <c r="L32" s="93">
        <f t="shared" si="18"/>
        <v>0</v>
      </c>
      <c r="M32" s="94">
        <f>IF($D$4="",0,IF($L32=0,0,VLOOKUP($L32,'3-1.標準報酬月額・保険料表'!$N$8:$O$57,2,TRUE)))</f>
        <v>0</v>
      </c>
      <c r="N32" s="187">
        <f t="shared" si="3"/>
        <v>0</v>
      </c>
      <c r="O32" s="94">
        <f t="shared" si="4"/>
        <v>0</v>
      </c>
      <c r="P32" s="187">
        <f t="shared" si="5"/>
        <v>0</v>
      </c>
      <c r="Q32" s="61">
        <f>IF($D$4="",0,IF($G32&lt;20,0,IF($Q$13="",0,IF($Q$13=2,0,IF($P32&lt;$R$13,0,IF($M32&lt;=620000,VLOOKUP($M32,'3-1.標準報酬月額・保険料表'!$D$8:$L$42,9,FALSE),'3-1.標準報酬月額・保険料表'!$L$42)+ROUNDDOWN($O32*$W$7,0))))))</f>
        <v>0</v>
      </c>
      <c r="R32" s="50">
        <f>IF($D$4="",0,IF($G32&lt;20,0,IF($O$9="",0,IF($Q$13=2,0,IF($D$10&gt;=$S$13,0,IF($P32&lt;$R$13,0,VLOOKUP($M32,'3-1.標準報酬月額・保険料表'!$D$8:$J$57,6,FALSE)+ROUNDDOWN($O32*$T$7,0)))))))</f>
        <v>0</v>
      </c>
      <c r="S32" s="50">
        <f>IF($D$4="",0,IF($G32&lt;20,0,IF($Q$13="",0,IF($Q$13=2,0,IF($D$10&lt;$S$13,0,IF($P32&lt;$R$13,0,VLOOKUP($M32,'3-1.標準報酬月額・保険料表'!$D$8:$J$57,7,FALSE)+ROUNDDOWN($O32*$U$7,0)))))))</f>
        <v>0</v>
      </c>
      <c r="T32" s="66">
        <f t="shared" si="19"/>
        <v>0</v>
      </c>
      <c r="U32" s="71">
        <f>IF($D$4="",0,IF($U$13="",0,IF($U$13=1,0,IF($G32&lt;$W$13,0,IF($K32&lt;$V$13,0,IF($M32&lt;=620000,VLOOKUP($M32,'3-1.標準報酬月額・保険料表'!$D$8:$L$42,9,FALSE),'3-1.標準報酬月額・保険料表'!$L$42)+ROUNDDOWN($O32*$W$7,0))))))</f>
        <v>0</v>
      </c>
      <c r="V32" s="72">
        <f>IF($D$4="",0,IF($U$13="",0,IF($U$13=1,0,IF($G32&lt;$W$13,0,IF($K32&lt;$V$13,0,IF($D$10&gt;=$X$13,0,VLOOKUP($M32,'3-1.標準報酬月額・保険料表'!$D$8:$J$57,6,FALSE)+ROUNDDOWN($O32*$T$7,0)))))))</f>
        <v>0</v>
      </c>
      <c r="W32" s="72">
        <f>IF($D$4="",0,IF($U$13="",0,IF($U$13=1,0,IF($G32&lt;$W$13,0,IF($K32&lt;$V$13,0,IF($D$10&lt;$X$13,0,VLOOKUP($M32,'3-1.標準報酬月額・保険料表'!$D$8:$J$57,7,FALSE)+ROUNDDOWN($O32*$U$7,0)))))))</f>
        <v>0</v>
      </c>
      <c r="X32" s="73">
        <f t="shared" si="20"/>
        <v>0</v>
      </c>
      <c r="Y32" s="63">
        <f t="shared" si="6"/>
        <v>0</v>
      </c>
      <c r="Z32" s="68">
        <f t="shared" si="21"/>
        <v>0</v>
      </c>
      <c r="AA32" s="152">
        <f>IF($D$4="","",VLOOKUP($K32,'3-2.所得算出参照表'!K$5:L$10,2,TRUE))</f>
        <v>1625000</v>
      </c>
      <c r="AB32" s="153">
        <f>IF($AA32="",0,IF($AA32='3-2.所得算出参照表'!$B$5,'3-2.所得算出参照表'!$E$5,IF('4-3.手当等支給メニュー (３年目or２年目)'!$AA32='3-2.所得算出参照表'!$B$6,'4-3.手当等支給メニュー (３年目or２年目)'!$K32*'3-2.所得算出参照表'!$E$6+'3-2.所得算出参照表'!$G$6,IF('4-3.手当等支給メニュー (３年目or２年目)'!$AA32='3-2.所得算出参照表'!$B$7,'4-3.手当等支給メニュー (３年目or２年目)'!$K32*'3-2.所得算出参照表'!$E$7+'3-2.所得算出参照表'!$G$7,IF('4-3.手当等支給メニュー (３年目or２年目)'!$AA32='3-2.所得算出参照表'!$B$8,'4-3.手当等支給メニュー (３年目or２年目)'!$K32*'3-2.所得算出参照表'!$E$8+'3-2.所得算出参照表'!$G$8,IF('4-3.手当等支給メニュー (３年目or２年目)'!$AA32='3-2.所得算出参照表'!$B$9,'4-3.手当等支給メニュー (３年目or２年目)'!$K32*'3-2.所得算出参照表'!$E$9+'3-2.所得算出参照表'!$G$9,IF($AA32='3-2.所得算出参照表'!$B$10,'3-2.所得算出参照表'!$G$10)))))))</f>
        <v>550000</v>
      </c>
      <c r="AC32" s="115">
        <f t="shared" si="7"/>
        <v>480000</v>
      </c>
      <c r="AD32" s="110">
        <f t="shared" si="8"/>
        <v>0</v>
      </c>
      <c r="AE32" s="155">
        <f>VLOOKUP($AD32,'3-2.所得算出参照表'!$N$4:$O$11,2,TRUE)</f>
        <v>0</v>
      </c>
      <c r="AF32" s="110">
        <f>VLOOKUP($AD32,'3-2.所得算出参照表'!$P$4:$Q$11,2,TRUE)</f>
        <v>0</v>
      </c>
      <c r="AG32" s="110">
        <f t="shared" si="27"/>
        <v>0</v>
      </c>
      <c r="AH32" s="110">
        <f>$AG32*'3-2.所得算出参照表'!$D$14</f>
        <v>0</v>
      </c>
      <c r="AI32" s="124">
        <f t="shared" si="28"/>
        <v>0</v>
      </c>
      <c r="AJ32" s="132">
        <f>IF($AA32="",0,IF($AA32='3-2.所得算出参照表'!$B$5,'3-2.所得算出参照表'!$E$5,IF('4-3.手当等支給メニュー (３年目or２年目)'!$AA32='3-2.所得算出参照表'!$B$6,'4-3.手当等支給メニュー (３年目or２年目)'!$K32*'3-2.所得算出参照表'!$E$6+'3-2.所得算出参照表'!$G$6,IF('4-3.手当等支給メニュー (３年目or２年目)'!$AA32='3-2.所得算出参照表'!$B$7,'4-3.手当等支給メニュー (３年目or２年目)'!$K32*'3-2.所得算出参照表'!$E$7+'3-2.所得算出参照表'!$G$7,IF('4-3.手当等支給メニュー (３年目or２年目)'!$AA32='3-2.所得算出参照表'!$B$8,'4-3.手当等支給メニュー (３年目or２年目)'!$K32*'3-2.所得算出参照表'!$E$8+'3-2.所得算出参照表'!$G$8,IF('4-3.手当等支給メニュー (３年目or２年目)'!$AA32='3-2.所得算出参照表'!$B$9,'4-3.手当等支給メニュー (３年目or２年目)'!$K32*'3-2.所得算出参照表'!$E$9+'3-2.所得算出参照表'!$G$9,IF($AA32='3-2.所得算出参照表'!$B$10,'3-2.所得算出参照表'!$G$10)))))))</f>
        <v>550000</v>
      </c>
      <c r="AK32" s="72">
        <f t="shared" si="9"/>
        <v>430000</v>
      </c>
      <c r="AL32" s="120">
        <f t="shared" si="10"/>
        <v>0</v>
      </c>
      <c r="AM32" s="120">
        <f t="shared" si="11"/>
        <v>0</v>
      </c>
      <c r="AN32" s="121">
        <f t="shared" si="12"/>
        <v>0</v>
      </c>
      <c r="AO32" s="128">
        <f t="shared" si="24"/>
        <v>0</v>
      </c>
      <c r="AP32" s="145">
        <f t="shared" si="13"/>
        <v>0</v>
      </c>
    </row>
    <row r="33" spans="2:42" ht="21.95" customHeight="1" x14ac:dyDescent="0.15">
      <c r="B33" s="101">
        <v>19</v>
      </c>
      <c r="C33" s="486" t="str">
        <f t="shared" si="14"/>
        <v/>
      </c>
      <c r="D33" s="489" t="str">
        <f t="shared" si="15"/>
        <v/>
      </c>
      <c r="E33" s="488" t="str">
        <f t="shared" si="16"/>
        <v/>
      </c>
      <c r="F33" s="447" t="str">
        <f t="shared" si="25"/>
        <v/>
      </c>
      <c r="G33" s="85" t="str">
        <f t="shared" si="26"/>
        <v/>
      </c>
      <c r="H33" s="198" t="str">
        <f t="shared" si="0"/>
        <v/>
      </c>
      <c r="I33" s="97">
        <f t="shared" si="1"/>
        <v>0</v>
      </c>
      <c r="J33" s="91">
        <f t="shared" si="17"/>
        <v>0</v>
      </c>
      <c r="K33" s="98">
        <f t="shared" si="2"/>
        <v>0</v>
      </c>
      <c r="L33" s="93">
        <f t="shared" si="18"/>
        <v>0</v>
      </c>
      <c r="M33" s="94">
        <f>IF($D$4="",0,IF($L33=0,0,VLOOKUP($L33,'3-1.標準報酬月額・保険料表'!$N$8:$O$57,2,TRUE)))</f>
        <v>0</v>
      </c>
      <c r="N33" s="187">
        <f t="shared" si="3"/>
        <v>0</v>
      </c>
      <c r="O33" s="94">
        <f t="shared" si="4"/>
        <v>0</v>
      </c>
      <c r="P33" s="187">
        <f t="shared" si="5"/>
        <v>0</v>
      </c>
      <c r="Q33" s="61">
        <f>IF($D$4="",0,IF($G33&lt;20,0,IF($Q$13="",0,IF($Q$13=2,0,IF($P33&lt;$R$13,0,IF($M33&lt;=620000,VLOOKUP($M33,'3-1.標準報酬月額・保険料表'!$D$8:$L$42,9,FALSE),'3-1.標準報酬月額・保険料表'!$L$42)+ROUNDDOWN($O33*$W$7,0))))))</f>
        <v>0</v>
      </c>
      <c r="R33" s="50">
        <f>IF($D$4="",0,IF($G33&lt;20,0,IF($O$9="",0,IF($Q$13=2,0,IF($D$10&gt;=$S$13,0,IF($P33&lt;$R$13,0,VLOOKUP($M33,'3-1.標準報酬月額・保険料表'!$D$8:$J$57,6,FALSE)+ROUNDDOWN($O33*$T$7,0)))))))</f>
        <v>0</v>
      </c>
      <c r="S33" s="50">
        <f>IF($D$4="",0,IF($G33&lt;20,0,IF($Q$13="",0,IF($Q$13=2,0,IF($D$10&lt;$S$13,0,IF($P33&lt;$R$13,0,VLOOKUP($M33,'3-1.標準報酬月額・保険料表'!$D$8:$J$57,7,FALSE)+ROUNDDOWN($O33*$U$7,0)))))))</f>
        <v>0</v>
      </c>
      <c r="T33" s="66">
        <f t="shared" si="19"/>
        <v>0</v>
      </c>
      <c r="U33" s="71">
        <f>IF($D$4="",0,IF($U$13="",0,IF($U$13=1,0,IF($G33&lt;$W$13,0,IF($K33&lt;$V$13,0,IF($M33&lt;=620000,VLOOKUP($M33,'3-1.標準報酬月額・保険料表'!$D$8:$L$42,9,FALSE),'3-1.標準報酬月額・保険料表'!$L$42)+ROUNDDOWN($O33*$W$7,0))))))</f>
        <v>0</v>
      </c>
      <c r="V33" s="72">
        <f>IF($D$4="",0,IF($U$13="",0,IF($U$13=1,0,IF($G33&lt;$W$13,0,IF($K33&lt;$V$13,0,IF($D$10&gt;=$X$13,0,VLOOKUP($M33,'3-1.標準報酬月額・保険料表'!$D$8:$J$57,6,FALSE)+ROUNDDOWN($O33*$T$7,0)))))))</f>
        <v>0</v>
      </c>
      <c r="W33" s="72">
        <f>IF($D$4="",0,IF($U$13="",0,IF($U$13=1,0,IF($G33&lt;$W$13,0,IF($K33&lt;$V$13,0,IF($D$10&lt;$X$13,0,VLOOKUP($M33,'3-1.標準報酬月額・保険料表'!$D$8:$J$57,7,FALSE)+ROUNDDOWN($O33*$U$7,0)))))))</f>
        <v>0</v>
      </c>
      <c r="X33" s="73">
        <f t="shared" si="20"/>
        <v>0</v>
      </c>
      <c r="Y33" s="63">
        <f t="shared" si="6"/>
        <v>0</v>
      </c>
      <c r="Z33" s="68">
        <f t="shared" si="21"/>
        <v>0</v>
      </c>
      <c r="AA33" s="152">
        <f>IF($D$4="","",VLOOKUP($K33,'3-2.所得算出参照表'!K$5:L$10,2,TRUE))</f>
        <v>1625000</v>
      </c>
      <c r="AB33" s="153">
        <f>IF($AA33="",0,IF($AA33='3-2.所得算出参照表'!$B$5,'3-2.所得算出参照表'!$E$5,IF('4-3.手当等支給メニュー (３年目or２年目)'!$AA33='3-2.所得算出参照表'!$B$6,'4-3.手当等支給メニュー (３年目or２年目)'!$K33*'3-2.所得算出参照表'!$E$6+'3-2.所得算出参照表'!$G$6,IF('4-3.手当等支給メニュー (３年目or２年目)'!$AA33='3-2.所得算出参照表'!$B$7,'4-3.手当等支給メニュー (３年目or２年目)'!$K33*'3-2.所得算出参照表'!$E$7+'3-2.所得算出参照表'!$G$7,IF('4-3.手当等支給メニュー (３年目or２年目)'!$AA33='3-2.所得算出参照表'!$B$8,'4-3.手当等支給メニュー (３年目or２年目)'!$K33*'3-2.所得算出参照表'!$E$8+'3-2.所得算出参照表'!$G$8,IF('4-3.手当等支給メニュー (３年目or２年目)'!$AA33='3-2.所得算出参照表'!$B$9,'4-3.手当等支給メニュー (３年目or２年目)'!$K33*'3-2.所得算出参照表'!$E$9+'3-2.所得算出参照表'!$G$9,IF($AA33='3-2.所得算出参照表'!$B$10,'3-2.所得算出参照表'!$G$10)))))))</f>
        <v>550000</v>
      </c>
      <c r="AC33" s="115">
        <f t="shared" si="7"/>
        <v>480000</v>
      </c>
      <c r="AD33" s="110">
        <f t="shared" si="8"/>
        <v>0</v>
      </c>
      <c r="AE33" s="155">
        <f>VLOOKUP($AD33,'3-2.所得算出参照表'!$N$4:$O$11,2,TRUE)</f>
        <v>0</v>
      </c>
      <c r="AF33" s="110">
        <f>VLOOKUP($AD33,'3-2.所得算出参照表'!$P$4:$Q$11,2,TRUE)</f>
        <v>0</v>
      </c>
      <c r="AG33" s="110">
        <f t="shared" si="27"/>
        <v>0</v>
      </c>
      <c r="AH33" s="110">
        <f>$AG33*'3-2.所得算出参照表'!$D$14</f>
        <v>0</v>
      </c>
      <c r="AI33" s="124">
        <f t="shared" si="28"/>
        <v>0</v>
      </c>
      <c r="AJ33" s="132">
        <f>IF($AA33="",0,IF($AA33='3-2.所得算出参照表'!$B$5,'3-2.所得算出参照表'!$E$5,IF('4-3.手当等支給メニュー (３年目or２年目)'!$AA33='3-2.所得算出参照表'!$B$6,'4-3.手当等支給メニュー (３年目or２年目)'!$K33*'3-2.所得算出参照表'!$E$6+'3-2.所得算出参照表'!$G$6,IF('4-3.手当等支給メニュー (３年目or２年目)'!$AA33='3-2.所得算出参照表'!$B$7,'4-3.手当等支給メニュー (３年目or２年目)'!$K33*'3-2.所得算出参照表'!$E$7+'3-2.所得算出参照表'!$G$7,IF('4-3.手当等支給メニュー (３年目or２年目)'!$AA33='3-2.所得算出参照表'!$B$8,'4-3.手当等支給メニュー (３年目or２年目)'!$K33*'3-2.所得算出参照表'!$E$8+'3-2.所得算出参照表'!$G$8,IF('4-3.手当等支給メニュー (３年目or２年目)'!$AA33='3-2.所得算出参照表'!$B$9,'4-3.手当等支給メニュー (３年目or２年目)'!$K33*'3-2.所得算出参照表'!$E$9+'3-2.所得算出参照表'!$G$9,IF($AA33='3-2.所得算出参照表'!$B$10,'3-2.所得算出参照表'!$G$10)))))))</f>
        <v>550000</v>
      </c>
      <c r="AK33" s="72">
        <f t="shared" si="9"/>
        <v>430000</v>
      </c>
      <c r="AL33" s="120">
        <f t="shared" si="10"/>
        <v>0</v>
      </c>
      <c r="AM33" s="120">
        <f t="shared" si="11"/>
        <v>0</v>
      </c>
      <c r="AN33" s="121">
        <f t="shared" si="12"/>
        <v>0</v>
      </c>
      <c r="AO33" s="128">
        <f t="shared" si="24"/>
        <v>0</v>
      </c>
      <c r="AP33" s="145">
        <f t="shared" si="13"/>
        <v>0</v>
      </c>
    </row>
    <row r="34" spans="2:42" ht="21.95" customHeight="1" x14ac:dyDescent="0.15">
      <c r="B34" s="100">
        <v>20</v>
      </c>
      <c r="C34" s="486" t="str">
        <f t="shared" si="14"/>
        <v/>
      </c>
      <c r="D34" s="489" t="str">
        <f t="shared" si="15"/>
        <v/>
      </c>
      <c r="E34" s="488" t="str">
        <f t="shared" si="16"/>
        <v/>
      </c>
      <c r="F34" s="447" t="str">
        <f t="shared" si="25"/>
        <v/>
      </c>
      <c r="G34" s="85" t="str">
        <f t="shared" si="26"/>
        <v/>
      </c>
      <c r="H34" s="198" t="str">
        <f t="shared" si="0"/>
        <v/>
      </c>
      <c r="I34" s="97">
        <f t="shared" si="1"/>
        <v>0</v>
      </c>
      <c r="J34" s="91">
        <f t="shared" si="17"/>
        <v>0</v>
      </c>
      <c r="K34" s="98">
        <f t="shared" si="2"/>
        <v>0</v>
      </c>
      <c r="L34" s="93">
        <f t="shared" si="18"/>
        <v>0</v>
      </c>
      <c r="M34" s="94">
        <f>IF($D$4="",0,IF($L34=0,0,VLOOKUP($L34,'3-1.標準報酬月額・保険料表'!$N$8:$O$57,2,TRUE)))</f>
        <v>0</v>
      </c>
      <c r="N34" s="187">
        <f t="shared" si="3"/>
        <v>0</v>
      </c>
      <c r="O34" s="94">
        <f t="shared" si="4"/>
        <v>0</v>
      </c>
      <c r="P34" s="187">
        <f t="shared" si="5"/>
        <v>0</v>
      </c>
      <c r="Q34" s="61">
        <f>IF($D$4="",0,IF($G34&lt;20,0,IF($Q$13="",0,IF($Q$13=2,0,IF($P34&lt;$R$13,0,IF($M34&lt;=620000,VLOOKUP($M34,'3-1.標準報酬月額・保険料表'!$D$8:$L$42,9,FALSE),'3-1.標準報酬月額・保険料表'!$L$42)+ROUNDDOWN($O34*$W$7,0))))))</f>
        <v>0</v>
      </c>
      <c r="R34" s="50">
        <f>IF($D$4="",0,IF($G34&lt;20,0,IF($O$9="",0,IF($Q$13=2,0,IF($D$10&gt;=$S$13,0,IF($P34&lt;$R$13,0,VLOOKUP($M34,'3-1.標準報酬月額・保険料表'!$D$8:$J$57,6,FALSE)+ROUNDDOWN($O34*$T$7,0)))))))</f>
        <v>0</v>
      </c>
      <c r="S34" s="50">
        <f>IF($D$4="",0,IF($G34&lt;20,0,IF($Q$13="",0,IF($Q$13=2,0,IF($D$10&lt;$S$13,0,IF($P34&lt;$R$13,0,VLOOKUP($M34,'3-1.標準報酬月額・保険料表'!$D$8:$J$57,7,FALSE)+ROUNDDOWN($O34*$U$7,0)))))))</f>
        <v>0</v>
      </c>
      <c r="T34" s="66">
        <f t="shared" si="19"/>
        <v>0</v>
      </c>
      <c r="U34" s="71">
        <f>IF($D$4="",0,IF($U$13="",0,IF($U$13=1,0,IF($G34&lt;$W$13,0,IF($K34&lt;$V$13,0,IF($M34&lt;=620000,VLOOKUP($M34,'3-1.標準報酬月額・保険料表'!$D$8:$L$42,9,FALSE),'3-1.標準報酬月額・保険料表'!$L$42)+ROUNDDOWN($O34*$W$7,0))))))</f>
        <v>0</v>
      </c>
      <c r="V34" s="72">
        <f>IF($D$4="",0,IF($U$13="",0,IF($U$13=1,0,IF($G34&lt;$W$13,0,IF($K34&lt;$V$13,0,IF($D$10&gt;=$X$13,0,VLOOKUP($M34,'3-1.標準報酬月額・保険料表'!$D$8:$J$57,6,FALSE)+ROUNDDOWN($O34*$T$7,0)))))))</f>
        <v>0</v>
      </c>
      <c r="W34" s="72">
        <f>IF($D$4="",0,IF($U$13="",0,IF($U$13=1,0,IF($G34&lt;$W$13,0,IF($K34&lt;$V$13,0,IF($D$10&lt;$X$13,0,VLOOKUP($M34,'3-1.標準報酬月額・保険料表'!$D$8:$J$57,7,FALSE)+ROUNDDOWN($O34*$U$7,0)))))))</f>
        <v>0</v>
      </c>
      <c r="X34" s="73">
        <f t="shared" si="20"/>
        <v>0</v>
      </c>
      <c r="Y34" s="63">
        <f t="shared" si="6"/>
        <v>0</v>
      </c>
      <c r="Z34" s="68">
        <f t="shared" si="21"/>
        <v>0</v>
      </c>
      <c r="AA34" s="152">
        <f>IF($D$4="","",VLOOKUP($K34,'3-2.所得算出参照表'!K$5:L$10,2,TRUE))</f>
        <v>1625000</v>
      </c>
      <c r="AB34" s="153">
        <f>IF($AA34="",0,IF($AA34='3-2.所得算出参照表'!$B$5,'3-2.所得算出参照表'!$E$5,IF('4-3.手当等支給メニュー (３年目or２年目)'!$AA34='3-2.所得算出参照表'!$B$6,'4-3.手当等支給メニュー (３年目or２年目)'!$K34*'3-2.所得算出参照表'!$E$6+'3-2.所得算出参照表'!$G$6,IF('4-3.手当等支給メニュー (３年目or２年目)'!$AA34='3-2.所得算出参照表'!$B$7,'4-3.手当等支給メニュー (３年目or２年目)'!$K34*'3-2.所得算出参照表'!$E$7+'3-2.所得算出参照表'!$G$7,IF('4-3.手当等支給メニュー (３年目or２年目)'!$AA34='3-2.所得算出参照表'!$B$8,'4-3.手当等支給メニュー (３年目or２年目)'!$K34*'3-2.所得算出参照表'!$E$8+'3-2.所得算出参照表'!$G$8,IF('4-3.手当等支給メニュー (３年目or２年目)'!$AA34='3-2.所得算出参照表'!$B$9,'4-3.手当等支給メニュー (３年目or２年目)'!$K34*'3-2.所得算出参照表'!$E$9+'3-2.所得算出参照表'!$G$9,IF($AA34='3-2.所得算出参照表'!$B$10,'3-2.所得算出参照表'!$G$10)))))))</f>
        <v>550000</v>
      </c>
      <c r="AC34" s="115">
        <f t="shared" si="7"/>
        <v>480000</v>
      </c>
      <c r="AD34" s="110">
        <f t="shared" si="8"/>
        <v>0</v>
      </c>
      <c r="AE34" s="155">
        <f>VLOOKUP($AD34,'3-2.所得算出参照表'!$N$4:$O$11,2,TRUE)</f>
        <v>0</v>
      </c>
      <c r="AF34" s="110">
        <f>VLOOKUP($AD34,'3-2.所得算出参照表'!$P$4:$Q$11,2,TRUE)</f>
        <v>0</v>
      </c>
      <c r="AG34" s="110">
        <f t="shared" si="27"/>
        <v>0</v>
      </c>
      <c r="AH34" s="110">
        <f>$AG34*'3-2.所得算出参照表'!$D$14</f>
        <v>0</v>
      </c>
      <c r="AI34" s="124">
        <f t="shared" si="28"/>
        <v>0</v>
      </c>
      <c r="AJ34" s="132">
        <f>IF($AA34="",0,IF($AA34='3-2.所得算出参照表'!$B$5,'3-2.所得算出参照表'!$E$5,IF('4-3.手当等支給メニュー (３年目or２年目)'!$AA34='3-2.所得算出参照表'!$B$6,'4-3.手当等支給メニュー (３年目or２年目)'!$K34*'3-2.所得算出参照表'!$E$6+'3-2.所得算出参照表'!$G$6,IF('4-3.手当等支給メニュー (３年目or２年目)'!$AA34='3-2.所得算出参照表'!$B$7,'4-3.手当等支給メニュー (３年目or２年目)'!$K34*'3-2.所得算出参照表'!$E$7+'3-2.所得算出参照表'!$G$7,IF('4-3.手当等支給メニュー (３年目or２年目)'!$AA34='3-2.所得算出参照表'!$B$8,'4-3.手当等支給メニュー (３年目or２年目)'!$K34*'3-2.所得算出参照表'!$E$8+'3-2.所得算出参照表'!$G$8,IF('4-3.手当等支給メニュー (３年目or２年目)'!$AA34='3-2.所得算出参照表'!$B$9,'4-3.手当等支給メニュー (３年目or２年目)'!$K34*'3-2.所得算出参照表'!$E$9+'3-2.所得算出参照表'!$G$9,IF($AA34='3-2.所得算出参照表'!$B$10,'3-2.所得算出参照表'!$G$10)))))))</f>
        <v>550000</v>
      </c>
      <c r="AK34" s="72">
        <f t="shared" si="9"/>
        <v>430000</v>
      </c>
      <c r="AL34" s="120">
        <f t="shared" si="10"/>
        <v>0</v>
      </c>
      <c r="AM34" s="120">
        <f t="shared" si="11"/>
        <v>0</v>
      </c>
      <c r="AN34" s="121">
        <f t="shared" si="12"/>
        <v>0</v>
      </c>
      <c r="AO34" s="128">
        <f t="shared" si="24"/>
        <v>0</v>
      </c>
      <c r="AP34" s="145">
        <f t="shared" si="13"/>
        <v>0</v>
      </c>
    </row>
    <row r="35" spans="2:42" ht="21.95" customHeight="1" x14ac:dyDescent="0.15">
      <c r="B35" s="101">
        <v>21</v>
      </c>
      <c r="C35" s="486" t="str">
        <f t="shared" si="14"/>
        <v/>
      </c>
      <c r="D35" s="489" t="str">
        <f t="shared" si="15"/>
        <v/>
      </c>
      <c r="E35" s="488" t="str">
        <f t="shared" si="16"/>
        <v/>
      </c>
      <c r="F35" s="447" t="str">
        <f t="shared" si="25"/>
        <v/>
      </c>
      <c r="G35" s="85" t="str">
        <f t="shared" si="26"/>
        <v/>
      </c>
      <c r="H35" s="198" t="str">
        <f t="shared" si="0"/>
        <v/>
      </c>
      <c r="I35" s="97">
        <f t="shared" si="1"/>
        <v>0</v>
      </c>
      <c r="J35" s="91">
        <f t="shared" si="17"/>
        <v>0</v>
      </c>
      <c r="K35" s="98">
        <f t="shared" si="2"/>
        <v>0</v>
      </c>
      <c r="L35" s="93">
        <f t="shared" si="18"/>
        <v>0</v>
      </c>
      <c r="M35" s="94">
        <f>IF($D$4="",0,IF($L35=0,0,VLOOKUP($L35,'3-1.標準報酬月額・保険料表'!$N$8:$O$57,2,TRUE)))</f>
        <v>0</v>
      </c>
      <c r="N35" s="187">
        <f t="shared" si="3"/>
        <v>0</v>
      </c>
      <c r="O35" s="94">
        <f t="shared" si="4"/>
        <v>0</v>
      </c>
      <c r="P35" s="187">
        <f t="shared" si="5"/>
        <v>0</v>
      </c>
      <c r="Q35" s="61">
        <f>IF($D$4="",0,IF($G35&lt;20,0,IF($Q$13="",0,IF($Q$13=2,0,IF($P35&lt;$R$13,0,IF($M35&lt;=620000,VLOOKUP($M35,'3-1.標準報酬月額・保険料表'!$D$8:$L$42,9,FALSE),'3-1.標準報酬月額・保険料表'!$L$42)+ROUNDDOWN($O35*$W$7,0))))))</f>
        <v>0</v>
      </c>
      <c r="R35" s="50">
        <f>IF($D$4="",0,IF($G35&lt;20,0,IF($O$9="",0,IF($Q$13=2,0,IF($D$10&gt;=$S$13,0,IF($P35&lt;$R$13,0,VLOOKUP($M35,'3-1.標準報酬月額・保険料表'!$D$8:$J$57,6,FALSE)+ROUNDDOWN($O35*$T$7,0)))))))</f>
        <v>0</v>
      </c>
      <c r="S35" s="50">
        <f>IF($D$4="",0,IF($G35&lt;20,0,IF($Q$13="",0,IF($Q$13=2,0,IF($D$10&lt;$S$13,0,IF($P35&lt;$R$13,0,VLOOKUP($M35,'3-1.標準報酬月額・保険料表'!$D$8:$J$57,7,FALSE)+ROUNDDOWN($O35*$U$7,0)))))))</f>
        <v>0</v>
      </c>
      <c r="T35" s="66">
        <f t="shared" si="19"/>
        <v>0</v>
      </c>
      <c r="U35" s="71">
        <f>IF($D$4="",0,IF($U$13="",0,IF($U$13=1,0,IF($G35&lt;$W$13,0,IF($K35&lt;$V$13,0,IF($M35&lt;=620000,VLOOKUP($M35,'3-1.標準報酬月額・保険料表'!$D$8:$L$42,9,FALSE),'3-1.標準報酬月額・保険料表'!$L$42)+ROUNDDOWN($O35*$W$7,0))))))</f>
        <v>0</v>
      </c>
      <c r="V35" s="72">
        <f>IF($D$4="",0,IF($U$13="",0,IF($U$13=1,0,IF($G35&lt;$W$13,0,IF($K35&lt;$V$13,0,IF($D$10&gt;=$X$13,0,VLOOKUP($M35,'3-1.標準報酬月額・保険料表'!$D$8:$J$57,6,FALSE)+ROUNDDOWN($O35*$T$7,0)))))))</f>
        <v>0</v>
      </c>
      <c r="W35" s="72">
        <f>IF($D$4="",0,IF($U$13="",0,IF($U$13=1,0,IF($G35&lt;$W$13,0,IF($K35&lt;$V$13,0,IF($D$10&lt;$X$13,0,VLOOKUP($M35,'3-1.標準報酬月額・保険料表'!$D$8:$J$57,7,FALSE)+ROUNDDOWN($O35*$U$7,0)))))))</f>
        <v>0</v>
      </c>
      <c r="X35" s="73">
        <f t="shared" si="20"/>
        <v>0</v>
      </c>
      <c r="Y35" s="63">
        <f t="shared" si="6"/>
        <v>0</v>
      </c>
      <c r="Z35" s="68">
        <f t="shared" si="21"/>
        <v>0</v>
      </c>
      <c r="AA35" s="152">
        <f>IF($D$4="","",VLOOKUP($K35,'3-2.所得算出参照表'!K$5:L$10,2,TRUE))</f>
        <v>1625000</v>
      </c>
      <c r="AB35" s="153">
        <f>IF($AA35="",0,IF($AA35='3-2.所得算出参照表'!$B$5,'3-2.所得算出参照表'!$E$5,IF('4-3.手当等支給メニュー (３年目or２年目)'!$AA35='3-2.所得算出参照表'!$B$6,'4-3.手当等支給メニュー (３年目or２年目)'!$K35*'3-2.所得算出参照表'!$E$6+'3-2.所得算出参照表'!$G$6,IF('4-3.手当等支給メニュー (３年目or２年目)'!$AA35='3-2.所得算出参照表'!$B$7,'4-3.手当等支給メニュー (３年目or２年目)'!$K35*'3-2.所得算出参照表'!$E$7+'3-2.所得算出参照表'!$G$7,IF('4-3.手当等支給メニュー (３年目or２年目)'!$AA35='3-2.所得算出参照表'!$B$8,'4-3.手当等支給メニュー (３年目or２年目)'!$K35*'3-2.所得算出参照表'!$E$8+'3-2.所得算出参照表'!$G$8,IF('4-3.手当等支給メニュー (３年目or２年目)'!$AA35='3-2.所得算出参照表'!$B$9,'4-3.手当等支給メニュー (３年目or２年目)'!$K35*'3-2.所得算出参照表'!$E$9+'3-2.所得算出参照表'!$G$9,IF($AA35='3-2.所得算出参照表'!$B$10,'3-2.所得算出参照表'!$G$10)))))))</f>
        <v>550000</v>
      </c>
      <c r="AC35" s="115">
        <f t="shared" si="7"/>
        <v>480000</v>
      </c>
      <c r="AD35" s="110">
        <f t="shared" si="8"/>
        <v>0</v>
      </c>
      <c r="AE35" s="155">
        <f>VLOOKUP($AD35,'3-2.所得算出参照表'!$N$4:$O$11,2,TRUE)</f>
        <v>0</v>
      </c>
      <c r="AF35" s="110">
        <f>VLOOKUP($AD35,'3-2.所得算出参照表'!$P$4:$Q$11,2,TRUE)</f>
        <v>0</v>
      </c>
      <c r="AG35" s="110">
        <f t="shared" si="27"/>
        <v>0</v>
      </c>
      <c r="AH35" s="110">
        <f>$AG35*'3-2.所得算出参照表'!$D$14</f>
        <v>0</v>
      </c>
      <c r="AI35" s="124">
        <f t="shared" si="28"/>
        <v>0</v>
      </c>
      <c r="AJ35" s="132">
        <f>IF($AA35="",0,IF($AA35='3-2.所得算出参照表'!$B$5,'3-2.所得算出参照表'!$E$5,IF('4-3.手当等支給メニュー (３年目or２年目)'!$AA35='3-2.所得算出参照表'!$B$6,'4-3.手当等支給メニュー (３年目or２年目)'!$K35*'3-2.所得算出参照表'!$E$6+'3-2.所得算出参照表'!$G$6,IF('4-3.手当等支給メニュー (３年目or２年目)'!$AA35='3-2.所得算出参照表'!$B$7,'4-3.手当等支給メニュー (３年目or２年目)'!$K35*'3-2.所得算出参照表'!$E$7+'3-2.所得算出参照表'!$G$7,IF('4-3.手当等支給メニュー (３年目or２年目)'!$AA35='3-2.所得算出参照表'!$B$8,'4-3.手当等支給メニュー (３年目or２年目)'!$K35*'3-2.所得算出参照表'!$E$8+'3-2.所得算出参照表'!$G$8,IF('4-3.手当等支給メニュー (３年目or２年目)'!$AA35='3-2.所得算出参照表'!$B$9,'4-3.手当等支給メニュー (３年目or２年目)'!$K35*'3-2.所得算出参照表'!$E$9+'3-2.所得算出参照表'!$G$9,IF($AA35='3-2.所得算出参照表'!$B$10,'3-2.所得算出参照表'!$G$10)))))))</f>
        <v>550000</v>
      </c>
      <c r="AK35" s="72">
        <f t="shared" si="9"/>
        <v>430000</v>
      </c>
      <c r="AL35" s="120">
        <f t="shared" si="10"/>
        <v>0</v>
      </c>
      <c r="AM35" s="120">
        <f t="shared" si="11"/>
        <v>0</v>
      </c>
      <c r="AN35" s="121">
        <f t="shared" si="12"/>
        <v>0</v>
      </c>
      <c r="AO35" s="128">
        <f t="shared" si="24"/>
        <v>0</v>
      </c>
      <c r="AP35" s="145">
        <f t="shared" si="13"/>
        <v>0</v>
      </c>
    </row>
    <row r="36" spans="2:42" ht="21.95" customHeight="1" x14ac:dyDescent="0.15">
      <c r="B36" s="101">
        <v>22</v>
      </c>
      <c r="C36" s="486" t="str">
        <f t="shared" si="14"/>
        <v/>
      </c>
      <c r="D36" s="489" t="str">
        <f t="shared" si="15"/>
        <v/>
      </c>
      <c r="E36" s="488" t="str">
        <f t="shared" si="16"/>
        <v/>
      </c>
      <c r="F36" s="447" t="str">
        <f t="shared" si="25"/>
        <v/>
      </c>
      <c r="G36" s="85" t="str">
        <f t="shared" si="26"/>
        <v/>
      </c>
      <c r="H36" s="198" t="str">
        <f t="shared" si="0"/>
        <v/>
      </c>
      <c r="I36" s="97">
        <f t="shared" si="1"/>
        <v>0</v>
      </c>
      <c r="J36" s="91">
        <f t="shared" si="17"/>
        <v>0</v>
      </c>
      <c r="K36" s="98">
        <f t="shared" si="2"/>
        <v>0</v>
      </c>
      <c r="L36" s="93">
        <f t="shared" si="18"/>
        <v>0</v>
      </c>
      <c r="M36" s="94">
        <f>IF($D$4="",0,IF($L36=0,0,VLOOKUP($L36,'3-1.標準報酬月額・保険料表'!$N$8:$O$57,2,TRUE)))</f>
        <v>0</v>
      </c>
      <c r="N36" s="187">
        <f t="shared" si="3"/>
        <v>0</v>
      </c>
      <c r="O36" s="94">
        <f t="shared" si="4"/>
        <v>0</v>
      </c>
      <c r="P36" s="187">
        <f t="shared" si="5"/>
        <v>0</v>
      </c>
      <c r="Q36" s="61">
        <f>IF($D$4="",0,IF($G36&lt;20,0,IF($Q$13="",0,IF($Q$13=2,0,IF($P36&lt;$R$13,0,IF($M36&lt;=620000,VLOOKUP($M36,'3-1.標準報酬月額・保険料表'!$D$8:$L$42,9,FALSE),'3-1.標準報酬月額・保険料表'!$L$42)+ROUNDDOWN($O36*$W$7,0))))))</f>
        <v>0</v>
      </c>
      <c r="R36" s="50">
        <f>IF($D$4="",0,IF($G36&lt;20,0,IF($O$9="",0,IF($Q$13=2,0,IF($D$10&gt;=$S$13,0,IF($P36&lt;$R$13,0,VLOOKUP($M36,'3-1.標準報酬月額・保険料表'!$D$8:$J$57,6,FALSE)+ROUNDDOWN($O36*$T$7,0)))))))</f>
        <v>0</v>
      </c>
      <c r="S36" s="50">
        <f>IF($D$4="",0,IF($G36&lt;20,0,IF($Q$13="",0,IF($Q$13=2,0,IF($D$10&lt;$S$13,0,IF($P36&lt;$R$13,0,VLOOKUP($M36,'3-1.標準報酬月額・保険料表'!$D$8:$J$57,7,FALSE)+ROUNDDOWN($O36*$U$7,0)))))))</f>
        <v>0</v>
      </c>
      <c r="T36" s="66">
        <f t="shared" si="19"/>
        <v>0</v>
      </c>
      <c r="U36" s="71">
        <f>IF($D$4="",0,IF($U$13="",0,IF($U$13=1,0,IF($G36&lt;$W$13,0,IF($K36&lt;$V$13,0,IF($M36&lt;=620000,VLOOKUP($M36,'3-1.標準報酬月額・保険料表'!$D$8:$L$42,9,FALSE),'3-1.標準報酬月額・保険料表'!$L$42)+ROUNDDOWN($O36*$W$7,0))))))</f>
        <v>0</v>
      </c>
      <c r="V36" s="72">
        <f>IF($D$4="",0,IF($U$13="",0,IF($U$13=1,0,IF($G36&lt;$W$13,0,IF($K36&lt;$V$13,0,IF($D$10&gt;=$X$13,0,VLOOKUP($M36,'3-1.標準報酬月額・保険料表'!$D$8:$J$57,6,FALSE)+ROUNDDOWN($O36*$T$7,0)))))))</f>
        <v>0</v>
      </c>
      <c r="W36" s="72">
        <f>IF($D$4="",0,IF($U$13="",0,IF($U$13=1,0,IF($G36&lt;$W$13,0,IF($K36&lt;$V$13,0,IF($D$10&lt;$X$13,0,VLOOKUP($M36,'3-1.標準報酬月額・保険料表'!$D$8:$J$57,7,FALSE)+ROUNDDOWN($O36*$U$7,0)))))))</f>
        <v>0</v>
      </c>
      <c r="X36" s="73">
        <f t="shared" si="20"/>
        <v>0</v>
      </c>
      <c r="Y36" s="63">
        <f t="shared" si="6"/>
        <v>0</v>
      </c>
      <c r="Z36" s="68">
        <f t="shared" si="21"/>
        <v>0</v>
      </c>
      <c r="AA36" s="152">
        <f>IF($D$4="","",VLOOKUP($K36,'3-2.所得算出参照表'!K$5:L$10,2,TRUE))</f>
        <v>1625000</v>
      </c>
      <c r="AB36" s="153">
        <f>IF($AA36="",0,IF($AA36='3-2.所得算出参照表'!$B$5,'3-2.所得算出参照表'!$E$5,IF('4-3.手当等支給メニュー (３年目or２年目)'!$AA36='3-2.所得算出参照表'!$B$6,'4-3.手当等支給メニュー (３年目or２年目)'!$K36*'3-2.所得算出参照表'!$E$6+'3-2.所得算出参照表'!$G$6,IF('4-3.手当等支給メニュー (３年目or２年目)'!$AA36='3-2.所得算出参照表'!$B$7,'4-3.手当等支給メニュー (３年目or２年目)'!$K36*'3-2.所得算出参照表'!$E$7+'3-2.所得算出参照表'!$G$7,IF('4-3.手当等支給メニュー (３年目or２年目)'!$AA36='3-2.所得算出参照表'!$B$8,'4-3.手当等支給メニュー (３年目or２年目)'!$K36*'3-2.所得算出参照表'!$E$8+'3-2.所得算出参照表'!$G$8,IF('4-3.手当等支給メニュー (３年目or２年目)'!$AA36='3-2.所得算出参照表'!$B$9,'4-3.手当等支給メニュー (３年目or２年目)'!$K36*'3-2.所得算出参照表'!$E$9+'3-2.所得算出参照表'!$G$9,IF($AA36='3-2.所得算出参照表'!$B$10,'3-2.所得算出参照表'!$G$10)))))))</f>
        <v>550000</v>
      </c>
      <c r="AC36" s="115">
        <f t="shared" si="7"/>
        <v>480000</v>
      </c>
      <c r="AD36" s="110">
        <f t="shared" si="8"/>
        <v>0</v>
      </c>
      <c r="AE36" s="155">
        <f>VLOOKUP($AD36,'3-2.所得算出参照表'!$N$4:$O$11,2,TRUE)</f>
        <v>0</v>
      </c>
      <c r="AF36" s="110">
        <f>VLOOKUP($AD36,'3-2.所得算出参照表'!$P$4:$Q$11,2,TRUE)</f>
        <v>0</v>
      </c>
      <c r="AG36" s="110">
        <f t="shared" si="27"/>
        <v>0</v>
      </c>
      <c r="AH36" s="110">
        <f>$AG36*'3-2.所得算出参照表'!$D$14</f>
        <v>0</v>
      </c>
      <c r="AI36" s="124">
        <f t="shared" si="28"/>
        <v>0</v>
      </c>
      <c r="AJ36" s="132">
        <f>IF($AA36="",0,IF($AA36='3-2.所得算出参照表'!$B$5,'3-2.所得算出参照表'!$E$5,IF('4-3.手当等支給メニュー (３年目or２年目)'!$AA36='3-2.所得算出参照表'!$B$6,'4-3.手当等支給メニュー (３年目or２年目)'!$K36*'3-2.所得算出参照表'!$E$6+'3-2.所得算出参照表'!$G$6,IF('4-3.手当等支給メニュー (３年目or２年目)'!$AA36='3-2.所得算出参照表'!$B$7,'4-3.手当等支給メニュー (３年目or２年目)'!$K36*'3-2.所得算出参照表'!$E$7+'3-2.所得算出参照表'!$G$7,IF('4-3.手当等支給メニュー (３年目or２年目)'!$AA36='3-2.所得算出参照表'!$B$8,'4-3.手当等支給メニュー (３年目or２年目)'!$K36*'3-2.所得算出参照表'!$E$8+'3-2.所得算出参照表'!$G$8,IF('4-3.手当等支給メニュー (３年目or２年目)'!$AA36='3-2.所得算出参照表'!$B$9,'4-3.手当等支給メニュー (３年目or２年目)'!$K36*'3-2.所得算出参照表'!$E$9+'3-2.所得算出参照表'!$G$9,IF($AA36='3-2.所得算出参照表'!$B$10,'3-2.所得算出参照表'!$G$10)))))))</f>
        <v>550000</v>
      </c>
      <c r="AK36" s="72">
        <f t="shared" si="9"/>
        <v>430000</v>
      </c>
      <c r="AL36" s="120">
        <f t="shared" si="10"/>
        <v>0</v>
      </c>
      <c r="AM36" s="120">
        <f t="shared" si="11"/>
        <v>0</v>
      </c>
      <c r="AN36" s="121">
        <f t="shared" si="12"/>
        <v>0</v>
      </c>
      <c r="AO36" s="128">
        <f t="shared" si="24"/>
        <v>0</v>
      </c>
      <c r="AP36" s="145">
        <f t="shared" si="13"/>
        <v>0</v>
      </c>
    </row>
    <row r="37" spans="2:42" ht="21.95" customHeight="1" x14ac:dyDescent="0.15">
      <c r="B37" s="101">
        <v>23</v>
      </c>
      <c r="C37" s="486" t="str">
        <f t="shared" si="14"/>
        <v/>
      </c>
      <c r="D37" s="489" t="str">
        <f t="shared" si="15"/>
        <v/>
      </c>
      <c r="E37" s="488" t="str">
        <f t="shared" si="16"/>
        <v/>
      </c>
      <c r="F37" s="447" t="str">
        <f t="shared" si="25"/>
        <v/>
      </c>
      <c r="G37" s="85" t="str">
        <f t="shared" si="26"/>
        <v/>
      </c>
      <c r="H37" s="198" t="str">
        <f t="shared" si="0"/>
        <v/>
      </c>
      <c r="I37" s="97">
        <f t="shared" si="1"/>
        <v>0</v>
      </c>
      <c r="J37" s="91">
        <f t="shared" si="17"/>
        <v>0</v>
      </c>
      <c r="K37" s="98">
        <f t="shared" si="2"/>
        <v>0</v>
      </c>
      <c r="L37" s="93">
        <f t="shared" si="18"/>
        <v>0</v>
      </c>
      <c r="M37" s="94">
        <f>IF($D$4="",0,IF($L37=0,0,VLOOKUP($L37,'3-1.標準報酬月額・保険料表'!$N$8:$O$57,2,TRUE)))</f>
        <v>0</v>
      </c>
      <c r="N37" s="187">
        <f t="shared" si="3"/>
        <v>0</v>
      </c>
      <c r="O37" s="94">
        <f t="shared" si="4"/>
        <v>0</v>
      </c>
      <c r="P37" s="187">
        <f t="shared" si="5"/>
        <v>0</v>
      </c>
      <c r="Q37" s="61">
        <f>IF($D$4="",0,IF($G37&lt;20,0,IF($Q$13="",0,IF($Q$13=2,0,IF($P37&lt;$R$13,0,IF($M37&lt;=620000,VLOOKUP($M37,'3-1.標準報酬月額・保険料表'!$D$8:$L$42,9,FALSE),'3-1.標準報酬月額・保険料表'!$L$42)+ROUNDDOWN($O37*$W$7,0))))))</f>
        <v>0</v>
      </c>
      <c r="R37" s="50">
        <f>IF($D$4="",0,IF($G37&lt;20,0,IF($O$9="",0,IF($Q$13=2,0,IF($D$10&gt;=$S$13,0,IF($P37&lt;$R$13,0,VLOOKUP($M37,'3-1.標準報酬月額・保険料表'!$D$8:$J$57,6,FALSE)+ROUNDDOWN($O37*$T$7,0)))))))</f>
        <v>0</v>
      </c>
      <c r="S37" s="50">
        <f>IF($D$4="",0,IF($G37&lt;20,0,IF($Q$13="",0,IF($Q$13=2,0,IF($D$10&lt;$S$13,0,IF($P37&lt;$R$13,0,VLOOKUP($M37,'3-1.標準報酬月額・保険料表'!$D$8:$J$57,7,FALSE)+ROUNDDOWN($O37*$U$7,0)))))))</f>
        <v>0</v>
      </c>
      <c r="T37" s="66">
        <f t="shared" si="19"/>
        <v>0</v>
      </c>
      <c r="U37" s="71">
        <f>IF($D$4="",0,IF($U$13="",0,IF($U$13=1,0,IF($G37&lt;$W$13,0,IF($K37&lt;$V$13,0,IF($M37&lt;=620000,VLOOKUP($M37,'3-1.標準報酬月額・保険料表'!$D$8:$L$42,9,FALSE),'3-1.標準報酬月額・保険料表'!$L$42)+ROUNDDOWN($O37*$W$7,0))))))</f>
        <v>0</v>
      </c>
      <c r="V37" s="72">
        <f>IF($D$4="",0,IF($U$13="",0,IF($U$13=1,0,IF($G37&lt;$W$13,0,IF($K37&lt;$V$13,0,IF($D$10&gt;=$X$13,0,VLOOKUP($M37,'3-1.標準報酬月額・保険料表'!$D$8:$J$57,6,FALSE)+ROUNDDOWN($O37*$T$7,0)))))))</f>
        <v>0</v>
      </c>
      <c r="W37" s="72">
        <f>IF($D$4="",0,IF($U$13="",0,IF($U$13=1,0,IF($G37&lt;$W$13,0,IF($K37&lt;$V$13,0,IF($D$10&lt;$X$13,0,VLOOKUP($M37,'3-1.標準報酬月額・保険料表'!$D$8:$J$57,7,FALSE)+ROUNDDOWN($O37*$U$7,0)))))))</f>
        <v>0</v>
      </c>
      <c r="X37" s="73">
        <f t="shared" si="20"/>
        <v>0</v>
      </c>
      <c r="Y37" s="63">
        <f t="shared" si="6"/>
        <v>0</v>
      </c>
      <c r="Z37" s="68">
        <f t="shared" si="21"/>
        <v>0</v>
      </c>
      <c r="AA37" s="152">
        <f>IF($D$4="","",VLOOKUP($K37,'3-2.所得算出参照表'!K$5:L$10,2,TRUE))</f>
        <v>1625000</v>
      </c>
      <c r="AB37" s="153">
        <f>IF($AA37="",0,IF($AA37='3-2.所得算出参照表'!$B$5,'3-2.所得算出参照表'!$E$5,IF('4-3.手当等支給メニュー (３年目or２年目)'!$AA37='3-2.所得算出参照表'!$B$6,'4-3.手当等支給メニュー (３年目or２年目)'!$K37*'3-2.所得算出参照表'!$E$6+'3-2.所得算出参照表'!$G$6,IF('4-3.手当等支給メニュー (３年目or２年目)'!$AA37='3-2.所得算出参照表'!$B$7,'4-3.手当等支給メニュー (３年目or２年目)'!$K37*'3-2.所得算出参照表'!$E$7+'3-2.所得算出参照表'!$G$7,IF('4-3.手当等支給メニュー (３年目or２年目)'!$AA37='3-2.所得算出参照表'!$B$8,'4-3.手当等支給メニュー (３年目or２年目)'!$K37*'3-2.所得算出参照表'!$E$8+'3-2.所得算出参照表'!$G$8,IF('4-3.手当等支給メニュー (３年目or２年目)'!$AA37='3-2.所得算出参照表'!$B$9,'4-3.手当等支給メニュー (３年目or２年目)'!$K37*'3-2.所得算出参照表'!$E$9+'3-2.所得算出参照表'!$G$9,IF($AA37='3-2.所得算出参照表'!$B$10,'3-2.所得算出参照表'!$G$10)))))))</f>
        <v>550000</v>
      </c>
      <c r="AC37" s="115">
        <f t="shared" si="7"/>
        <v>480000</v>
      </c>
      <c r="AD37" s="110">
        <f t="shared" si="8"/>
        <v>0</v>
      </c>
      <c r="AE37" s="155">
        <f>VLOOKUP($AD37,'3-2.所得算出参照表'!$N$4:$O$11,2,TRUE)</f>
        <v>0</v>
      </c>
      <c r="AF37" s="110">
        <f>VLOOKUP($AD37,'3-2.所得算出参照表'!$P$4:$Q$11,2,TRUE)</f>
        <v>0</v>
      </c>
      <c r="AG37" s="110">
        <f t="shared" si="27"/>
        <v>0</v>
      </c>
      <c r="AH37" s="110">
        <f>$AG37*'3-2.所得算出参照表'!$D$14</f>
        <v>0</v>
      </c>
      <c r="AI37" s="124">
        <f t="shared" si="28"/>
        <v>0</v>
      </c>
      <c r="AJ37" s="132">
        <f>IF($AA37="",0,IF($AA37='3-2.所得算出参照表'!$B$5,'3-2.所得算出参照表'!$E$5,IF('4-3.手当等支給メニュー (３年目or２年目)'!$AA37='3-2.所得算出参照表'!$B$6,'4-3.手当等支給メニュー (３年目or２年目)'!$K37*'3-2.所得算出参照表'!$E$6+'3-2.所得算出参照表'!$G$6,IF('4-3.手当等支給メニュー (３年目or２年目)'!$AA37='3-2.所得算出参照表'!$B$7,'4-3.手当等支給メニュー (３年目or２年目)'!$K37*'3-2.所得算出参照表'!$E$7+'3-2.所得算出参照表'!$G$7,IF('4-3.手当等支給メニュー (３年目or２年目)'!$AA37='3-2.所得算出参照表'!$B$8,'4-3.手当等支給メニュー (３年目or２年目)'!$K37*'3-2.所得算出参照表'!$E$8+'3-2.所得算出参照表'!$G$8,IF('4-3.手当等支給メニュー (３年目or２年目)'!$AA37='3-2.所得算出参照表'!$B$9,'4-3.手当等支給メニュー (３年目or２年目)'!$K37*'3-2.所得算出参照表'!$E$9+'3-2.所得算出参照表'!$G$9,IF($AA37='3-2.所得算出参照表'!$B$10,'3-2.所得算出参照表'!$G$10)))))))</f>
        <v>550000</v>
      </c>
      <c r="AK37" s="72">
        <f t="shared" si="9"/>
        <v>430000</v>
      </c>
      <c r="AL37" s="120">
        <f t="shared" si="10"/>
        <v>0</v>
      </c>
      <c r="AM37" s="120">
        <f t="shared" si="11"/>
        <v>0</v>
      </c>
      <c r="AN37" s="121">
        <f t="shared" si="12"/>
        <v>0</v>
      </c>
      <c r="AO37" s="128">
        <f t="shared" si="24"/>
        <v>0</v>
      </c>
      <c r="AP37" s="145">
        <f t="shared" si="13"/>
        <v>0</v>
      </c>
    </row>
    <row r="38" spans="2:42" ht="21.95" customHeight="1" x14ac:dyDescent="0.15">
      <c r="B38" s="100">
        <v>24</v>
      </c>
      <c r="C38" s="486" t="str">
        <f t="shared" si="14"/>
        <v/>
      </c>
      <c r="D38" s="489" t="str">
        <f t="shared" si="15"/>
        <v/>
      </c>
      <c r="E38" s="488" t="str">
        <f t="shared" si="16"/>
        <v/>
      </c>
      <c r="F38" s="447" t="str">
        <f t="shared" si="25"/>
        <v/>
      </c>
      <c r="G38" s="85" t="str">
        <f t="shared" si="26"/>
        <v/>
      </c>
      <c r="H38" s="198" t="str">
        <f t="shared" si="0"/>
        <v/>
      </c>
      <c r="I38" s="97">
        <f t="shared" si="1"/>
        <v>0</v>
      </c>
      <c r="J38" s="91">
        <f t="shared" si="17"/>
        <v>0</v>
      </c>
      <c r="K38" s="98">
        <f t="shared" si="2"/>
        <v>0</v>
      </c>
      <c r="L38" s="93">
        <f t="shared" si="18"/>
        <v>0</v>
      </c>
      <c r="M38" s="94">
        <f>IF($D$4="",0,IF($L38=0,0,VLOOKUP($L38,'3-1.標準報酬月額・保険料表'!$N$8:$O$57,2,TRUE)))</f>
        <v>0</v>
      </c>
      <c r="N38" s="187">
        <f t="shared" si="3"/>
        <v>0</v>
      </c>
      <c r="O38" s="94">
        <f t="shared" si="4"/>
        <v>0</v>
      </c>
      <c r="P38" s="187">
        <f t="shared" si="5"/>
        <v>0</v>
      </c>
      <c r="Q38" s="61">
        <f>IF($D$4="",0,IF($G38&lt;20,0,IF($Q$13="",0,IF($Q$13=2,0,IF($P38&lt;$R$13,0,IF($M38&lt;=620000,VLOOKUP($M38,'3-1.標準報酬月額・保険料表'!$D$8:$L$42,9,FALSE),'3-1.標準報酬月額・保険料表'!$L$42)+ROUNDDOWN($O38*$W$7,0))))))</f>
        <v>0</v>
      </c>
      <c r="R38" s="50">
        <f>IF($D$4="",0,IF($G38&lt;20,0,IF($O$9="",0,IF($Q$13=2,0,IF($D$10&gt;=$S$13,0,IF($P38&lt;$R$13,0,VLOOKUP($M38,'3-1.標準報酬月額・保険料表'!$D$8:$J$57,6,FALSE)+ROUNDDOWN($O38*$T$7,0)))))))</f>
        <v>0</v>
      </c>
      <c r="S38" s="50">
        <f>IF($D$4="",0,IF($G38&lt;20,0,IF($Q$13="",0,IF($Q$13=2,0,IF($D$10&lt;$S$13,0,IF($P38&lt;$R$13,0,VLOOKUP($M38,'3-1.標準報酬月額・保険料表'!$D$8:$J$57,7,FALSE)+ROUNDDOWN($O38*$U$7,0)))))))</f>
        <v>0</v>
      </c>
      <c r="T38" s="66">
        <f t="shared" si="19"/>
        <v>0</v>
      </c>
      <c r="U38" s="71">
        <f>IF($D$4="",0,IF($U$13="",0,IF($U$13=1,0,IF($G38&lt;$W$13,0,IF($K38&lt;$V$13,0,IF($M38&lt;=620000,VLOOKUP($M38,'3-1.標準報酬月額・保険料表'!$D$8:$L$42,9,FALSE),'3-1.標準報酬月額・保険料表'!$L$42)+ROUNDDOWN($O38*$W$7,0))))))</f>
        <v>0</v>
      </c>
      <c r="V38" s="72">
        <f>IF($D$4="",0,IF($U$13="",0,IF($U$13=1,0,IF($G38&lt;$W$13,0,IF($K38&lt;$V$13,0,IF($D$10&gt;=$X$13,0,VLOOKUP($M38,'3-1.標準報酬月額・保険料表'!$D$8:$J$57,6,FALSE)+ROUNDDOWN($O38*$T$7,0)))))))</f>
        <v>0</v>
      </c>
      <c r="W38" s="72">
        <f>IF($D$4="",0,IF($U$13="",0,IF($U$13=1,0,IF($G38&lt;$W$13,0,IF($K38&lt;$V$13,0,IF($D$10&lt;$X$13,0,VLOOKUP($M38,'3-1.標準報酬月額・保険料表'!$D$8:$J$57,7,FALSE)+ROUNDDOWN($O38*$U$7,0)))))))</f>
        <v>0</v>
      </c>
      <c r="X38" s="73">
        <f t="shared" si="20"/>
        <v>0</v>
      </c>
      <c r="Y38" s="63">
        <f t="shared" si="6"/>
        <v>0</v>
      </c>
      <c r="Z38" s="68">
        <f t="shared" si="21"/>
        <v>0</v>
      </c>
      <c r="AA38" s="152">
        <f>IF($D$4="","",VLOOKUP($K38,'3-2.所得算出参照表'!K$5:L$10,2,TRUE))</f>
        <v>1625000</v>
      </c>
      <c r="AB38" s="153">
        <f>IF($AA38="",0,IF($AA38='3-2.所得算出参照表'!$B$5,'3-2.所得算出参照表'!$E$5,IF('4-3.手当等支給メニュー (３年目or２年目)'!$AA38='3-2.所得算出参照表'!$B$6,'4-3.手当等支給メニュー (３年目or２年目)'!$K38*'3-2.所得算出参照表'!$E$6+'3-2.所得算出参照表'!$G$6,IF('4-3.手当等支給メニュー (３年目or２年目)'!$AA38='3-2.所得算出参照表'!$B$7,'4-3.手当等支給メニュー (３年目or２年目)'!$K38*'3-2.所得算出参照表'!$E$7+'3-2.所得算出参照表'!$G$7,IF('4-3.手当等支給メニュー (３年目or２年目)'!$AA38='3-2.所得算出参照表'!$B$8,'4-3.手当等支給メニュー (３年目or２年目)'!$K38*'3-2.所得算出参照表'!$E$8+'3-2.所得算出参照表'!$G$8,IF('4-3.手当等支給メニュー (３年目or２年目)'!$AA38='3-2.所得算出参照表'!$B$9,'4-3.手当等支給メニュー (３年目or２年目)'!$K38*'3-2.所得算出参照表'!$E$9+'3-2.所得算出参照表'!$G$9,IF($AA38='3-2.所得算出参照表'!$B$10,'3-2.所得算出参照表'!$G$10)))))))</f>
        <v>550000</v>
      </c>
      <c r="AC38" s="115">
        <f t="shared" si="7"/>
        <v>480000</v>
      </c>
      <c r="AD38" s="110">
        <f t="shared" si="8"/>
        <v>0</v>
      </c>
      <c r="AE38" s="155">
        <f>VLOOKUP($AD38,'3-2.所得算出参照表'!$N$4:$O$11,2,TRUE)</f>
        <v>0</v>
      </c>
      <c r="AF38" s="110">
        <f>VLOOKUP($AD38,'3-2.所得算出参照表'!$P$4:$Q$11,2,TRUE)</f>
        <v>0</v>
      </c>
      <c r="AG38" s="110">
        <f t="shared" si="27"/>
        <v>0</v>
      </c>
      <c r="AH38" s="110">
        <f>$AG38*'3-2.所得算出参照表'!$D$14</f>
        <v>0</v>
      </c>
      <c r="AI38" s="124">
        <f t="shared" si="28"/>
        <v>0</v>
      </c>
      <c r="AJ38" s="132">
        <f>IF($AA38="",0,IF($AA38='3-2.所得算出参照表'!$B$5,'3-2.所得算出参照表'!$E$5,IF('4-3.手当等支給メニュー (３年目or２年目)'!$AA38='3-2.所得算出参照表'!$B$6,'4-3.手当等支給メニュー (３年目or２年目)'!$K38*'3-2.所得算出参照表'!$E$6+'3-2.所得算出参照表'!$G$6,IF('4-3.手当等支給メニュー (３年目or２年目)'!$AA38='3-2.所得算出参照表'!$B$7,'4-3.手当等支給メニュー (３年目or２年目)'!$K38*'3-2.所得算出参照表'!$E$7+'3-2.所得算出参照表'!$G$7,IF('4-3.手当等支給メニュー (３年目or２年目)'!$AA38='3-2.所得算出参照表'!$B$8,'4-3.手当等支給メニュー (３年目or２年目)'!$K38*'3-2.所得算出参照表'!$E$8+'3-2.所得算出参照表'!$G$8,IF('4-3.手当等支給メニュー (３年目or２年目)'!$AA38='3-2.所得算出参照表'!$B$9,'4-3.手当等支給メニュー (３年目or２年目)'!$K38*'3-2.所得算出参照表'!$E$9+'3-2.所得算出参照表'!$G$9,IF($AA38='3-2.所得算出参照表'!$B$10,'3-2.所得算出参照表'!$G$10)))))))</f>
        <v>550000</v>
      </c>
      <c r="AK38" s="72">
        <f t="shared" si="9"/>
        <v>430000</v>
      </c>
      <c r="AL38" s="120">
        <f t="shared" si="10"/>
        <v>0</v>
      </c>
      <c r="AM38" s="120">
        <f t="shared" si="11"/>
        <v>0</v>
      </c>
      <c r="AN38" s="121">
        <f t="shared" si="12"/>
        <v>0</v>
      </c>
      <c r="AO38" s="128">
        <f t="shared" si="24"/>
        <v>0</v>
      </c>
      <c r="AP38" s="145">
        <f t="shared" si="13"/>
        <v>0</v>
      </c>
    </row>
    <row r="39" spans="2:42" ht="21.95" customHeight="1" x14ac:dyDescent="0.15">
      <c r="B39" s="101">
        <v>25</v>
      </c>
      <c r="C39" s="486" t="str">
        <f t="shared" si="14"/>
        <v/>
      </c>
      <c r="D39" s="489" t="str">
        <f t="shared" si="15"/>
        <v/>
      </c>
      <c r="E39" s="488" t="str">
        <f t="shared" si="16"/>
        <v/>
      </c>
      <c r="F39" s="447" t="str">
        <f t="shared" si="25"/>
        <v/>
      </c>
      <c r="G39" s="85" t="str">
        <f t="shared" si="26"/>
        <v/>
      </c>
      <c r="H39" s="198" t="str">
        <f t="shared" si="0"/>
        <v/>
      </c>
      <c r="I39" s="97">
        <f t="shared" si="1"/>
        <v>0</v>
      </c>
      <c r="J39" s="91">
        <f t="shared" si="17"/>
        <v>0</v>
      </c>
      <c r="K39" s="98">
        <f t="shared" si="2"/>
        <v>0</v>
      </c>
      <c r="L39" s="93">
        <f t="shared" si="18"/>
        <v>0</v>
      </c>
      <c r="M39" s="94">
        <f>IF($D$4="",0,IF($L39=0,0,VLOOKUP($L39,'3-1.標準報酬月額・保険料表'!$N$8:$O$57,2,TRUE)))</f>
        <v>0</v>
      </c>
      <c r="N39" s="187">
        <f t="shared" si="3"/>
        <v>0</v>
      </c>
      <c r="O39" s="94">
        <f t="shared" si="4"/>
        <v>0</v>
      </c>
      <c r="P39" s="187">
        <f t="shared" si="5"/>
        <v>0</v>
      </c>
      <c r="Q39" s="61">
        <f>IF($D$4="",0,IF($G39&lt;20,0,IF($Q$13="",0,IF($Q$13=2,0,IF($P39&lt;$R$13,0,IF($M39&lt;=620000,VLOOKUP($M39,'3-1.標準報酬月額・保険料表'!$D$8:$L$42,9,FALSE),'3-1.標準報酬月額・保険料表'!$L$42)+ROUNDDOWN($O39*$W$7,0))))))</f>
        <v>0</v>
      </c>
      <c r="R39" s="50">
        <f>IF($D$4="",0,IF($G39&lt;20,0,IF($O$9="",0,IF($Q$13=2,0,IF($D$10&gt;=$S$13,0,IF($P39&lt;$R$13,0,VLOOKUP($M39,'3-1.標準報酬月額・保険料表'!$D$8:$J$57,6,FALSE)+ROUNDDOWN($O39*$T$7,0)))))))</f>
        <v>0</v>
      </c>
      <c r="S39" s="50">
        <f>IF($D$4="",0,IF($G39&lt;20,0,IF($Q$13="",0,IF($Q$13=2,0,IF($D$10&lt;$S$13,0,IF($P39&lt;$R$13,0,VLOOKUP($M39,'3-1.標準報酬月額・保険料表'!$D$8:$J$57,7,FALSE)+ROUNDDOWN($O39*$U$7,0)))))))</f>
        <v>0</v>
      </c>
      <c r="T39" s="66">
        <f t="shared" si="19"/>
        <v>0</v>
      </c>
      <c r="U39" s="71">
        <f>IF($D$4="",0,IF($U$13="",0,IF($U$13=1,0,IF($G39&lt;$W$13,0,IF($K39&lt;$V$13,0,IF($M39&lt;=620000,VLOOKUP($M39,'3-1.標準報酬月額・保険料表'!$D$8:$L$42,9,FALSE),'3-1.標準報酬月額・保険料表'!$L$42)+ROUNDDOWN($O39*$W$7,0))))))</f>
        <v>0</v>
      </c>
      <c r="V39" s="72">
        <f>IF($D$4="",0,IF($U$13="",0,IF($U$13=1,0,IF($G39&lt;$W$13,0,IF($K39&lt;$V$13,0,IF($D$10&gt;=$X$13,0,VLOOKUP($M39,'3-1.標準報酬月額・保険料表'!$D$8:$J$57,6,FALSE)+ROUNDDOWN($O39*$T$7,0)))))))</f>
        <v>0</v>
      </c>
      <c r="W39" s="72">
        <f>IF($D$4="",0,IF($U$13="",0,IF($U$13=1,0,IF($G39&lt;$W$13,0,IF($K39&lt;$V$13,0,IF($D$10&lt;$X$13,0,VLOOKUP($M39,'3-1.標準報酬月額・保険料表'!$D$8:$J$57,7,FALSE)+ROUNDDOWN($O39*$U$7,0)))))))</f>
        <v>0</v>
      </c>
      <c r="X39" s="73">
        <f t="shared" si="20"/>
        <v>0</v>
      </c>
      <c r="Y39" s="63">
        <f t="shared" si="6"/>
        <v>0</v>
      </c>
      <c r="Z39" s="68">
        <f t="shared" si="21"/>
        <v>0</v>
      </c>
      <c r="AA39" s="152">
        <f>IF($D$4="","",VLOOKUP($K39,'3-2.所得算出参照表'!K$5:L$10,2,TRUE))</f>
        <v>1625000</v>
      </c>
      <c r="AB39" s="153">
        <f>IF($AA39="",0,IF($AA39='3-2.所得算出参照表'!$B$5,'3-2.所得算出参照表'!$E$5,IF('4-3.手当等支給メニュー (３年目or２年目)'!$AA39='3-2.所得算出参照表'!$B$6,'4-3.手当等支給メニュー (３年目or２年目)'!$K39*'3-2.所得算出参照表'!$E$6+'3-2.所得算出参照表'!$G$6,IF('4-3.手当等支給メニュー (３年目or２年目)'!$AA39='3-2.所得算出参照表'!$B$7,'4-3.手当等支給メニュー (３年目or２年目)'!$K39*'3-2.所得算出参照表'!$E$7+'3-2.所得算出参照表'!$G$7,IF('4-3.手当等支給メニュー (３年目or２年目)'!$AA39='3-2.所得算出参照表'!$B$8,'4-3.手当等支給メニュー (３年目or２年目)'!$K39*'3-2.所得算出参照表'!$E$8+'3-2.所得算出参照表'!$G$8,IF('4-3.手当等支給メニュー (３年目or２年目)'!$AA39='3-2.所得算出参照表'!$B$9,'4-3.手当等支給メニュー (３年目or２年目)'!$K39*'3-2.所得算出参照表'!$E$9+'3-2.所得算出参照表'!$G$9,IF($AA39='3-2.所得算出参照表'!$B$10,'3-2.所得算出参照表'!$G$10)))))))</f>
        <v>550000</v>
      </c>
      <c r="AC39" s="115">
        <f t="shared" si="7"/>
        <v>480000</v>
      </c>
      <c r="AD39" s="110">
        <f t="shared" si="8"/>
        <v>0</v>
      </c>
      <c r="AE39" s="155">
        <f>VLOOKUP($AD39,'3-2.所得算出参照表'!$N$4:$O$11,2,TRUE)</f>
        <v>0</v>
      </c>
      <c r="AF39" s="110">
        <f>VLOOKUP($AD39,'3-2.所得算出参照表'!$P$4:$Q$11,2,TRUE)</f>
        <v>0</v>
      </c>
      <c r="AG39" s="110">
        <f t="shared" si="27"/>
        <v>0</v>
      </c>
      <c r="AH39" s="110">
        <f>$AG39*'3-2.所得算出参照表'!$D$14</f>
        <v>0</v>
      </c>
      <c r="AI39" s="124">
        <f t="shared" si="28"/>
        <v>0</v>
      </c>
      <c r="AJ39" s="132">
        <f>IF($AA39="",0,IF($AA39='3-2.所得算出参照表'!$B$5,'3-2.所得算出参照表'!$E$5,IF('4-3.手当等支給メニュー (３年目or２年目)'!$AA39='3-2.所得算出参照表'!$B$6,'4-3.手当等支給メニュー (３年目or２年目)'!$K39*'3-2.所得算出参照表'!$E$6+'3-2.所得算出参照表'!$G$6,IF('4-3.手当等支給メニュー (３年目or２年目)'!$AA39='3-2.所得算出参照表'!$B$7,'4-3.手当等支給メニュー (３年目or２年目)'!$K39*'3-2.所得算出参照表'!$E$7+'3-2.所得算出参照表'!$G$7,IF('4-3.手当等支給メニュー (３年目or２年目)'!$AA39='3-2.所得算出参照表'!$B$8,'4-3.手当等支給メニュー (３年目or２年目)'!$K39*'3-2.所得算出参照表'!$E$8+'3-2.所得算出参照表'!$G$8,IF('4-3.手当等支給メニュー (３年目or２年目)'!$AA39='3-2.所得算出参照表'!$B$9,'4-3.手当等支給メニュー (３年目or２年目)'!$K39*'3-2.所得算出参照表'!$E$9+'3-2.所得算出参照表'!$G$9,IF($AA39='3-2.所得算出参照表'!$B$10,'3-2.所得算出参照表'!$G$10)))))))</f>
        <v>550000</v>
      </c>
      <c r="AK39" s="72">
        <f t="shared" si="9"/>
        <v>430000</v>
      </c>
      <c r="AL39" s="120">
        <f t="shared" si="10"/>
        <v>0</v>
      </c>
      <c r="AM39" s="120">
        <f t="shared" si="11"/>
        <v>0</v>
      </c>
      <c r="AN39" s="121">
        <f t="shared" si="12"/>
        <v>0</v>
      </c>
      <c r="AO39" s="128">
        <f t="shared" si="24"/>
        <v>0</v>
      </c>
      <c r="AP39" s="145">
        <f t="shared" si="13"/>
        <v>0</v>
      </c>
    </row>
    <row r="40" spans="2:42" ht="21.95" customHeight="1" x14ac:dyDescent="0.15">
      <c r="B40" s="101">
        <v>26</v>
      </c>
      <c r="C40" s="486" t="str">
        <f t="shared" si="14"/>
        <v/>
      </c>
      <c r="D40" s="489" t="str">
        <f t="shared" si="15"/>
        <v/>
      </c>
      <c r="E40" s="488" t="str">
        <f t="shared" si="16"/>
        <v/>
      </c>
      <c r="F40" s="447" t="str">
        <f t="shared" si="25"/>
        <v/>
      </c>
      <c r="G40" s="85" t="str">
        <f t="shared" si="26"/>
        <v/>
      </c>
      <c r="H40" s="198" t="str">
        <f t="shared" si="0"/>
        <v/>
      </c>
      <c r="I40" s="97">
        <f t="shared" si="1"/>
        <v>0</v>
      </c>
      <c r="J40" s="91">
        <f t="shared" si="17"/>
        <v>0</v>
      </c>
      <c r="K40" s="98">
        <f t="shared" si="2"/>
        <v>0</v>
      </c>
      <c r="L40" s="93">
        <f t="shared" si="18"/>
        <v>0</v>
      </c>
      <c r="M40" s="94">
        <f>IF($D$4="",0,IF($L40=0,0,VLOOKUP($L40,'3-1.標準報酬月額・保険料表'!$N$8:$O$57,2,TRUE)))</f>
        <v>0</v>
      </c>
      <c r="N40" s="187">
        <f t="shared" si="3"/>
        <v>0</v>
      </c>
      <c r="O40" s="94">
        <f t="shared" si="4"/>
        <v>0</v>
      </c>
      <c r="P40" s="187">
        <f t="shared" si="5"/>
        <v>0</v>
      </c>
      <c r="Q40" s="61">
        <f>IF($D$4="",0,IF($G40&lt;20,0,IF($Q$13="",0,IF($Q$13=2,0,IF($P40&lt;$R$13,0,IF($M40&lt;=620000,VLOOKUP($M40,'3-1.標準報酬月額・保険料表'!$D$8:$L$42,9,FALSE),'3-1.標準報酬月額・保険料表'!$L$42)+ROUNDDOWN($O40*$W$7,0))))))</f>
        <v>0</v>
      </c>
      <c r="R40" s="50">
        <f>IF($D$4="",0,IF($G40&lt;20,0,IF($O$9="",0,IF($Q$13=2,0,IF($D$10&gt;=$S$13,0,IF($P40&lt;$R$13,0,VLOOKUP($M40,'3-1.標準報酬月額・保険料表'!$D$8:$J$57,6,FALSE)+ROUNDDOWN($O40*$T$7,0)))))))</f>
        <v>0</v>
      </c>
      <c r="S40" s="50">
        <f>IF($D$4="",0,IF($G40&lt;20,0,IF($Q$13="",0,IF($Q$13=2,0,IF($D$10&lt;$S$13,0,IF($P40&lt;$R$13,0,VLOOKUP($M40,'3-1.標準報酬月額・保険料表'!$D$8:$J$57,7,FALSE)+ROUNDDOWN($O40*$U$7,0)))))))</f>
        <v>0</v>
      </c>
      <c r="T40" s="66">
        <f t="shared" si="19"/>
        <v>0</v>
      </c>
      <c r="U40" s="71">
        <f>IF($D$4="",0,IF($U$13="",0,IF($U$13=1,0,IF($G40&lt;$W$13,0,IF($K40&lt;$V$13,0,IF($M40&lt;=620000,VLOOKUP($M40,'3-1.標準報酬月額・保険料表'!$D$8:$L$42,9,FALSE),'3-1.標準報酬月額・保険料表'!$L$42)+ROUNDDOWN($O40*$W$7,0))))))</f>
        <v>0</v>
      </c>
      <c r="V40" s="72">
        <f>IF($D$4="",0,IF($U$13="",0,IF($U$13=1,0,IF($G40&lt;$W$13,0,IF($K40&lt;$V$13,0,IF($D$10&gt;=$X$13,0,VLOOKUP($M40,'3-1.標準報酬月額・保険料表'!$D$8:$J$57,6,FALSE)+ROUNDDOWN($O40*$T$7,0)))))))</f>
        <v>0</v>
      </c>
      <c r="W40" s="72">
        <f>IF($D$4="",0,IF($U$13="",0,IF($U$13=1,0,IF($G40&lt;$W$13,0,IF($K40&lt;$V$13,0,IF($D$10&lt;$X$13,0,VLOOKUP($M40,'3-1.標準報酬月額・保険料表'!$D$8:$J$57,7,FALSE)+ROUNDDOWN($O40*$U$7,0)))))))</f>
        <v>0</v>
      </c>
      <c r="X40" s="73">
        <f t="shared" si="20"/>
        <v>0</v>
      </c>
      <c r="Y40" s="63">
        <f t="shared" si="6"/>
        <v>0</v>
      </c>
      <c r="Z40" s="68">
        <f t="shared" si="21"/>
        <v>0</v>
      </c>
      <c r="AA40" s="152">
        <f>IF($D$4="","",VLOOKUP($K40,'3-2.所得算出参照表'!K$5:L$10,2,TRUE))</f>
        <v>1625000</v>
      </c>
      <c r="AB40" s="153">
        <f>IF($AA40="",0,IF($AA40='3-2.所得算出参照表'!$B$5,'3-2.所得算出参照表'!$E$5,IF('4-3.手当等支給メニュー (３年目or２年目)'!$AA40='3-2.所得算出参照表'!$B$6,'4-3.手当等支給メニュー (３年目or２年目)'!$K40*'3-2.所得算出参照表'!$E$6+'3-2.所得算出参照表'!$G$6,IF('4-3.手当等支給メニュー (３年目or２年目)'!$AA40='3-2.所得算出参照表'!$B$7,'4-3.手当等支給メニュー (３年目or２年目)'!$K40*'3-2.所得算出参照表'!$E$7+'3-2.所得算出参照表'!$G$7,IF('4-3.手当等支給メニュー (３年目or２年目)'!$AA40='3-2.所得算出参照表'!$B$8,'4-3.手当等支給メニュー (３年目or２年目)'!$K40*'3-2.所得算出参照表'!$E$8+'3-2.所得算出参照表'!$G$8,IF('4-3.手当等支給メニュー (３年目or２年目)'!$AA40='3-2.所得算出参照表'!$B$9,'4-3.手当等支給メニュー (３年目or２年目)'!$K40*'3-2.所得算出参照表'!$E$9+'3-2.所得算出参照表'!$G$9,IF($AA40='3-2.所得算出参照表'!$B$10,'3-2.所得算出参照表'!$G$10)))))))</f>
        <v>550000</v>
      </c>
      <c r="AC40" s="115">
        <f t="shared" si="7"/>
        <v>480000</v>
      </c>
      <c r="AD40" s="110">
        <f t="shared" si="8"/>
        <v>0</v>
      </c>
      <c r="AE40" s="155">
        <f>VLOOKUP($AD40,'3-2.所得算出参照表'!$N$4:$O$11,2,TRUE)</f>
        <v>0</v>
      </c>
      <c r="AF40" s="110">
        <f>VLOOKUP($AD40,'3-2.所得算出参照表'!$P$4:$Q$11,2,TRUE)</f>
        <v>0</v>
      </c>
      <c r="AG40" s="110">
        <f t="shared" si="27"/>
        <v>0</v>
      </c>
      <c r="AH40" s="110">
        <f>$AG40*'3-2.所得算出参照表'!$D$14</f>
        <v>0</v>
      </c>
      <c r="AI40" s="124">
        <f t="shared" si="28"/>
        <v>0</v>
      </c>
      <c r="AJ40" s="132">
        <f>IF($AA40="",0,IF($AA40='3-2.所得算出参照表'!$B$5,'3-2.所得算出参照表'!$E$5,IF('4-3.手当等支給メニュー (３年目or２年目)'!$AA40='3-2.所得算出参照表'!$B$6,'4-3.手当等支給メニュー (３年目or２年目)'!$K40*'3-2.所得算出参照表'!$E$6+'3-2.所得算出参照表'!$G$6,IF('4-3.手当等支給メニュー (３年目or２年目)'!$AA40='3-2.所得算出参照表'!$B$7,'4-3.手当等支給メニュー (３年目or２年目)'!$K40*'3-2.所得算出参照表'!$E$7+'3-2.所得算出参照表'!$G$7,IF('4-3.手当等支給メニュー (３年目or２年目)'!$AA40='3-2.所得算出参照表'!$B$8,'4-3.手当等支給メニュー (３年目or２年目)'!$K40*'3-2.所得算出参照表'!$E$8+'3-2.所得算出参照表'!$G$8,IF('4-3.手当等支給メニュー (３年目or２年目)'!$AA40='3-2.所得算出参照表'!$B$9,'4-3.手当等支給メニュー (３年目or２年目)'!$K40*'3-2.所得算出参照表'!$E$9+'3-2.所得算出参照表'!$G$9,IF($AA40='3-2.所得算出参照表'!$B$10,'3-2.所得算出参照表'!$G$10)))))))</f>
        <v>550000</v>
      </c>
      <c r="AK40" s="72">
        <f t="shared" si="9"/>
        <v>430000</v>
      </c>
      <c r="AL40" s="120">
        <f t="shared" si="10"/>
        <v>0</v>
      </c>
      <c r="AM40" s="120">
        <f t="shared" si="11"/>
        <v>0</v>
      </c>
      <c r="AN40" s="121">
        <f t="shared" si="12"/>
        <v>0</v>
      </c>
      <c r="AO40" s="128">
        <f t="shared" si="24"/>
        <v>0</v>
      </c>
      <c r="AP40" s="145">
        <f t="shared" si="13"/>
        <v>0</v>
      </c>
    </row>
    <row r="41" spans="2:42" ht="21.95" customHeight="1" x14ac:dyDescent="0.15">
      <c r="B41" s="101">
        <v>27</v>
      </c>
      <c r="C41" s="486" t="str">
        <f t="shared" si="14"/>
        <v/>
      </c>
      <c r="D41" s="489" t="str">
        <f t="shared" si="15"/>
        <v/>
      </c>
      <c r="E41" s="488" t="str">
        <f t="shared" si="16"/>
        <v/>
      </c>
      <c r="F41" s="447" t="str">
        <f t="shared" si="25"/>
        <v/>
      </c>
      <c r="G41" s="85" t="str">
        <f t="shared" si="26"/>
        <v/>
      </c>
      <c r="H41" s="198" t="str">
        <f t="shared" si="0"/>
        <v/>
      </c>
      <c r="I41" s="97">
        <f t="shared" si="1"/>
        <v>0</v>
      </c>
      <c r="J41" s="91">
        <f t="shared" si="17"/>
        <v>0</v>
      </c>
      <c r="K41" s="98">
        <f t="shared" si="2"/>
        <v>0</v>
      </c>
      <c r="L41" s="93">
        <f t="shared" si="18"/>
        <v>0</v>
      </c>
      <c r="M41" s="94">
        <f>IF($D$4="",0,IF($L41=0,0,VLOOKUP($L41,'3-1.標準報酬月額・保険料表'!$N$8:$O$57,2,TRUE)))</f>
        <v>0</v>
      </c>
      <c r="N41" s="187">
        <f t="shared" si="3"/>
        <v>0</v>
      </c>
      <c r="O41" s="94">
        <f t="shared" si="4"/>
        <v>0</v>
      </c>
      <c r="P41" s="187">
        <f t="shared" si="5"/>
        <v>0</v>
      </c>
      <c r="Q41" s="61">
        <f>IF($D$4="",0,IF($G41&lt;20,0,IF($Q$13="",0,IF($Q$13=2,0,IF($P41&lt;$R$13,0,IF($M41&lt;=620000,VLOOKUP($M41,'3-1.標準報酬月額・保険料表'!$D$8:$L$42,9,FALSE),'3-1.標準報酬月額・保険料表'!$L$42)+ROUNDDOWN($O41*$W$7,0))))))</f>
        <v>0</v>
      </c>
      <c r="R41" s="50">
        <f>IF($D$4="",0,IF($G41&lt;20,0,IF($O$9="",0,IF($Q$13=2,0,IF($D$10&gt;=$S$13,0,IF($P41&lt;$R$13,0,VLOOKUP($M41,'3-1.標準報酬月額・保険料表'!$D$8:$J$57,6,FALSE)+ROUNDDOWN($O41*$T$7,0)))))))</f>
        <v>0</v>
      </c>
      <c r="S41" s="50">
        <f>IF($D$4="",0,IF($G41&lt;20,0,IF($Q$13="",0,IF($Q$13=2,0,IF($D$10&lt;$S$13,0,IF($P41&lt;$R$13,0,VLOOKUP($M41,'3-1.標準報酬月額・保険料表'!$D$8:$J$57,7,FALSE)+ROUNDDOWN($O41*$U$7,0)))))))</f>
        <v>0</v>
      </c>
      <c r="T41" s="66">
        <f t="shared" si="19"/>
        <v>0</v>
      </c>
      <c r="U41" s="71">
        <f>IF($D$4="",0,IF($U$13="",0,IF($U$13=1,0,IF($G41&lt;$W$13,0,IF($K41&lt;$V$13,0,IF($M41&lt;=620000,VLOOKUP($M41,'3-1.標準報酬月額・保険料表'!$D$8:$L$42,9,FALSE),'3-1.標準報酬月額・保険料表'!$L$42)+ROUNDDOWN($O41*$W$7,0))))))</f>
        <v>0</v>
      </c>
      <c r="V41" s="72">
        <f>IF($D$4="",0,IF($U$13="",0,IF($U$13=1,0,IF($G41&lt;$W$13,0,IF($K41&lt;$V$13,0,IF($D$10&gt;=$X$13,0,VLOOKUP($M41,'3-1.標準報酬月額・保険料表'!$D$8:$J$57,6,FALSE)+ROUNDDOWN($O41*$T$7,0)))))))</f>
        <v>0</v>
      </c>
      <c r="W41" s="72">
        <f>IF($D$4="",0,IF($U$13="",0,IF($U$13=1,0,IF($G41&lt;$W$13,0,IF($K41&lt;$V$13,0,IF($D$10&lt;$X$13,0,VLOOKUP($M41,'3-1.標準報酬月額・保険料表'!$D$8:$J$57,7,FALSE)+ROUNDDOWN($O41*$U$7,0)))))))</f>
        <v>0</v>
      </c>
      <c r="X41" s="73">
        <f t="shared" si="20"/>
        <v>0</v>
      </c>
      <c r="Y41" s="63">
        <f t="shared" si="6"/>
        <v>0</v>
      </c>
      <c r="Z41" s="68">
        <f t="shared" si="21"/>
        <v>0</v>
      </c>
      <c r="AA41" s="152">
        <f>IF($D$4="","",VLOOKUP($K41,'3-2.所得算出参照表'!K$5:L$10,2,TRUE))</f>
        <v>1625000</v>
      </c>
      <c r="AB41" s="153">
        <f>IF($AA41="",0,IF($AA41='3-2.所得算出参照表'!$B$5,'3-2.所得算出参照表'!$E$5,IF('4-3.手当等支給メニュー (３年目or２年目)'!$AA41='3-2.所得算出参照表'!$B$6,'4-3.手当等支給メニュー (３年目or２年目)'!$K41*'3-2.所得算出参照表'!$E$6+'3-2.所得算出参照表'!$G$6,IF('4-3.手当等支給メニュー (３年目or２年目)'!$AA41='3-2.所得算出参照表'!$B$7,'4-3.手当等支給メニュー (３年目or２年目)'!$K41*'3-2.所得算出参照表'!$E$7+'3-2.所得算出参照表'!$G$7,IF('4-3.手当等支給メニュー (３年目or２年目)'!$AA41='3-2.所得算出参照表'!$B$8,'4-3.手当等支給メニュー (３年目or２年目)'!$K41*'3-2.所得算出参照表'!$E$8+'3-2.所得算出参照表'!$G$8,IF('4-3.手当等支給メニュー (３年目or２年目)'!$AA41='3-2.所得算出参照表'!$B$9,'4-3.手当等支給メニュー (３年目or２年目)'!$K41*'3-2.所得算出参照表'!$E$9+'3-2.所得算出参照表'!$G$9,IF($AA41='3-2.所得算出参照表'!$B$10,'3-2.所得算出参照表'!$G$10)))))))</f>
        <v>550000</v>
      </c>
      <c r="AC41" s="115">
        <f t="shared" si="7"/>
        <v>480000</v>
      </c>
      <c r="AD41" s="110">
        <f t="shared" si="8"/>
        <v>0</v>
      </c>
      <c r="AE41" s="155">
        <f>VLOOKUP($AD41,'3-2.所得算出参照表'!$N$4:$O$11,2,TRUE)</f>
        <v>0</v>
      </c>
      <c r="AF41" s="110">
        <f>VLOOKUP($AD41,'3-2.所得算出参照表'!$P$4:$Q$11,2,TRUE)</f>
        <v>0</v>
      </c>
      <c r="AG41" s="110">
        <f t="shared" si="27"/>
        <v>0</v>
      </c>
      <c r="AH41" s="110">
        <f>$AG41*'3-2.所得算出参照表'!$D$14</f>
        <v>0</v>
      </c>
      <c r="AI41" s="124">
        <f t="shared" si="28"/>
        <v>0</v>
      </c>
      <c r="AJ41" s="132">
        <f>IF($AA41="",0,IF($AA41='3-2.所得算出参照表'!$B$5,'3-2.所得算出参照表'!$E$5,IF('4-3.手当等支給メニュー (３年目or２年目)'!$AA41='3-2.所得算出参照表'!$B$6,'4-3.手当等支給メニュー (３年目or２年目)'!$K41*'3-2.所得算出参照表'!$E$6+'3-2.所得算出参照表'!$G$6,IF('4-3.手当等支給メニュー (３年目or２年目)'!$AA41='3-2.所得算出参照表'!$B$7,'4-3.手当等支給メニュー (３年目or２年目)'!$K41*'3-2.所得算出参照表'!$E$7+'3-2.所得算出参照表'!$G$7,IF('4-3.手当等支給メニュー (３年目or２年目)'!$AA41='3-2.所得算出参照表'!$B$8,'4-3.手当等支給メニュー (３年目or２年目)'!$K41*'3-2.所得算出参照表'!$E$8+'3-2.所得算出参照表'!$G$8,IF('4-3.手当等支給メニュー (３年目or２年目)'!$AA41='3-2.所得算出参照表'!$B$9,'4-3.手当等支給メニュー (３年目or２年目)'!$K41*'3-2.所得算出参照表'!$E$9+'3-2.所得算出参照表'!$G$9,IF($AA41='3-2.所得算出参照表'!$B$10,'3-2.所得算出参照表'!$G$10)))))))</f>
        <v>550000</v>
      </c>
      <c r="AK41" s="72">
        <f t="shared" si="9"/>
        <v>430000</v>
      </c>
      <c r="AL41" s="120">
        <f t="shared" si="10"/>
        <v>0</v>
      </c>
      <c r="AM41" s="120">
        <f t="shared" si="11"/>
        <v>0</v>
      </c>
      <c r="AN41" s="121">
        <f t="shared" si="12"/>
        <v>0</v>
      </c>
      <c r="AO41" s="128">
        <f t="shared" si="24"/>
        <v>0</v>
      </c>
      <c r="AP41" s="145">
        <f t="shared" si="13"/>
        <v>0</v>
      </c>
    </row>
    <row r="42" spans="2:42" ht="21.95" customHeight="1" x14ac:dyDescent="0.15">
      <c r="B42" s="100">
        <v>28</v>
      </c>
      <c r="C42" s="486" t="str">
        <f t="shared" si="14"/>
        <v/>
      </c>
      <c r="D42" s="489" t="str">
        <f t="shared" si="15"/>
        <v/>
      </c>
      <c r="E42" s="488" t="str">
        <f t="shared" si="16"/>
        <v/>
      </c>
      <c r="F42" s="447" t="str">
        <f t="shared" si="25"/>
        <v/>
      </c>
      <c r="G42" s="85" t="str">
        <f t="shared" si="26"/>
        <v/>
      </c>
      <c r="H42" s="198" t="str">
        <f t="shared" si="0"/>
        <v/>
      </c>
      <c r="I42" s="97">
        <f t="shared" si="1"/>
        <v>0</v>
      </c>
      <c r="J42" s="91">
        <f t="shared" si="17"/>
        <v>0</v>
      </c>
      <c r="K42" s="98">
        <f t="shared" si="2"/>
        <v>0</v>
      </c>
      <c r="L42" s="93">
        <f t="shared" si="18"/>
        <v>0</v>
      </c>
      <c r="M42" s="94">
        <f>IF($D$4="",0,IF($L42=0,0,VLOOKUP($L42,'3-1.標準報酬月額・保険料表'!$N$8:$O$57,2,TRUE)))</f>
        <v>0</v>
      </c>
      <c r="N42" s="187">
        <f t="shared" si="3"/>
        <v>0</v>
      </c>
      <c r="O42" s="94">
        <f t="shared" si="4"/>
        <v>0</v>
      </c>
      <c r="P42" s="187">
        <f t="shared" si="5"/>
        <v>0</v>
      </c>
      <c r="Q42" s="61">
        <f>IF($D$4="",0,IF($G42&lt;20,0,IF($Q$13="",0,IF($Q$13=2,0,IF($P42&lt;$R$13,0,IF($M42&lt;=620000,VLOOKUP($M42,'3-1.標準報酬月額・保険料表'!$D$8:$L$42,9,FALSE),'3-1.標準報酬月額・保険料表'!$L$42)+ROUNDDOWN($O42*$W$7,0))))))</f>
        <v>0</v>
      </c>
      <c r="R42" s="50">
        <f>IF($D$4="",0,IF($G42&lt;20,0,IF($O$9="",0,IF($Q$13=2,0,IF($D$10&gt;=$S$13,0,IF($P42&lt;$R$13,0,VLOOKUP($M42,'3-1.標準報酬月額・保険料表'!$D$8:$J$57,6,FALSE)+ROUNDDOWN($O42*$T$7,0)))))))</f>
        <v>0</v>
      </c>
      <c r="S42" s="50">
        <f>IF($D$4="",0,IF($G42&lt;20,0,IF($Q$13="",0,IF($Q$13=2,0,IF($D$10&lt;$S$13,0,IF($P42&lt;$R$13,0,VLOOKUP($M42,'3-1.標準報酬月額・保険料表'!$D$8:$J$57,7,FALSE)+ROUNDDOWN($O42*$U$7,0)))))))</f>
        <v>0</v>
      </c>
      <c r="T42" s="66">
        <f t="shared" si="19"/>
        <v>0</v>
      </c>
      <c r="U42" s="71">
        <f>IF($D$4="",0,IF($U$13="",0,IF($U$13=1,0,IF($G42&lt;$W$13,0,IF($K42&lt;$V$13,0,IF($M42&lt;=620000,VLOOKUP($M42,'3-1.標準報酬月額・保険料表'!$D$8:$L$42,9,FALSE),'3-1.標準報酬月額・保険料表'!$L$42)+ROUNDDOWN($O42*$W$7,0))))))</f>
        <v>0</v>
      </c>
      <c r="V42" s="72">
        <f>IF($D$4="",0,IF($U$13="",0,IF($U$13=1,0,IF($G42&lt;$W$13,0,IF($K42&lt;$V$13,0,IF($D$10&gt;=$X$13,0,VLOOKUP($M42,'3-1.標準報酬月額・保険料表'!$D$8:$J$57,6,FALSE)+ROUNDDOWN($O42*$T$7,0)))))))</f>
        <v>0</v>
      </c>
      <c r="W42" s="72">
        <f>IF($D$4="",0,IF($U$13="",0,IF($U$13=1,0,IF($G42&lt;$W$13,0,IF($K42&lt;$V$13,0,IF($D$10&lt;$X$13,0,VLOOKUP($M42,'3-1.標準報酬月額・保険料表'!$D$8:$J$57,7,FALSE)+ROUNDDOWN($O42*$U$7,0)))))))</f>
        <v>0</v>
      </c>
      <c r="X42" s="73">
        <f t="shared" si="20"/>
        <v>0</v>
      </c>
      <c r="Y42" s="63">
        <f t="shared" si="6"/>
        <v>0</v>
      </c>
      <c r="Z42" s="68">
        <f t="shared" si="21"/>
        <v>0</v>
      </c>
      <c r="AA42" s="152">
        <f>IF($D$4="","",VLOOKUP($K42,'3-2.所得算出参照表'!K$5:L$10,2,TRUE))</f>
        <v>1625000</v>
      </c>
      <c r="AB42" s="153">
        <f>IF($AA42="",0,IF($AA42='3-2.所得算出参照表'!$B$5,'3-2.所得算出参照表'!$E$5,IF('4-3.手当等支給メニュー (３年目or２年目)'!$AA42='3-2.所得算出参照表'!$B$6,'4-3.手当等支給メニュー (３年目or２年目)'!$K42*'3-2.所得算出参照表'!$E$6+'3-2.所得算出参照表'!$G$6,IF('4-3.手当等支給メニュー (３年目or２年目)'!$AA42='3-2.所得算出参照表'!$B$7,'4-3.手当等支給メニュー (３年目or２年目)'!$K42*'3-2.所得算出参照表'!$E$7+'3-2.所得算出参照表'!$G$7,IF('4-3.手当等支給メニュー (３年目or２年目)'!$AA42='3-2.所得算出参照表'!$B$8,'4-3.手当等支給メニュー (３年目or２年目)'!$K42*'3-2.所得算出参照表'!$E$8+'3-2.所得算出参照表'!$G$8,IF('4-3.手当等支給メニュー (３年目or２年目)'!$AA42='3-2.所得算出参照表'!$B$9,'4-3.手当等支給メニュー (３年目or２年目)'!$K42*'3-2.所得算出参照表'!$E$9+'3-2.所得算出参照表'!$G$9,IF($AA42='3-2.所得算出参照表'!$B$10,'3-2.所得算出参照表'!$G$10)))))))</f>
        <v>550000</v>
      </c>
      <c r="AC42" s="115">
        <f t="shared" si="7"/>
        <v>480000</v>
      </c>
      <c r="AD42" s="110">
        <f t="shared" si="8"/>
        <v>0</v>
      </c>
      <c r="AE42" s="155">
        <f>VLOOKUP($AD42,'3-2.所得算出参照表'!$N$4:$O$11,2,TRUE)</f>
        <v>0</v>
      </c>
      <c r="AF42" s="110">
        <f>VLOOKUP($AD42,'3-2.所得算出参照表'!$P$4:$Q$11,2,TRUE)</f>
        <v>0</v>
      </c>
      <c r="AG42" s="110">
        <f t="shared" si="27"/>
        <v>0</v>
      </c>
      <c r="AH42" s="110">
        <f>$AG42*'3-2.所得算出参照表'!$D$14</f>
        <v>0</v>
      </c>
      <c r="AI42" s="124">
        <f t="shared" si="28"/>
        <v>0</v>
      </c>
      <c r="AJ42" s="132">
        <f>IF($AA42="",0,IF($AA42='3-2.所得算出参照表'!$B$5,'3-2.所得算出参照表'!$E$5,IF('4-3.手当等支給メニュー (３年目or２年目)'!$AA42='3-2.所得算出参照表'!$B$6,'4-3.手当等支給メニュー (３年目or２年目)'!$K42*'3-2.所得算出参照表'!$E$6+'3-2.所得算出参照表'!$G$6,IF('4-3.手当等支給メニュー (３年目or２年目)'!$AA42='3-2.所得算出参照表'!$B$7,'4-3.手当等支給メニュー (３年目or２年目)'!$K42*'3-2.所得算出参照表'!$E$7+'3-2.所得算出参照表'!$G$7,IF('4-3.手当等支給メニュー (３年目or２年目)'!$AA42='3-2.所得算出参照表'!$B$8,'4-3.手当等支給メニュー (３年目or２年目)'!$K42*'3-2.所得算出参照表'!$E$8+'3-2.所得算出参照表'!$G$8,IF('4-3.手当等支給メニュー (３年目or２年目)'!$AA42='3-2.所得算出参照表'!$B$9,'4-3.手当等支給メニュー (３年目or２年目)'!$K42*'3-2.所得算出参照表'!$E$9+'3-2.所得算出参照表'!$G$9,IF($AA42='3-2.所得算出参照表'!$B$10,'3-2.所得算出参照表'!$G$10)))))))</f>
        <v>550000</v>
      </c>
      <c r="AK42" s="72">
        <f t="shared" si="9"/>
        <v>430000</v>
      </c>
      <c r="AL42" s="120">
        <f t="shared" si="10"/>
        <v>0</v>
      </c>
      <c r="AM42" s="120">
        <f t="shared" si="11"/>
        <v>0</v>
      </c>
      <c r="AN42" s="121">
        <f t="shared" si="12"/>
        <v>0</v>
      </c>
      <c r="AO42" s="128">
        <f t="shared" si="24"/>
        <v>0</v>
      </c>
      <c r="AP42" s="145">
        <f t="shared" si="13"/>
        <v>0</v>
      </c>
    </row>
    <row r="43" spans="2:42" ht="21.95" customHeight="1" x14ac:dyDescent="0.15">
      <c r="B43" s="101">
        <v>29</v>
      </c>
      <c r="C43" s="486" t="str">
        <f t="shared" si="14"/>
        <v/>
      </c>
      <c r="D43" s="489" t="str">
        <f t="shared" si="15"/>
        <v/>
      </c>
      <c r="E43" s="488" t="str">
        <f t="shared" si="16"/>
        <v/>
      </c>
      <c r="F43" s="447" t="str">
        <f t="shared" si="25"/>
        <v/>
      </c>
      <c r="G43" s="85" t="str">
        <f t="shared" si="26"/>
        <v/>
      </c>
      <c r="H43" s="198" t="str">
        <f t="shared" si="0"/>
        <v/>
      </c>
      <c r="I43" s="97">
        <f t="shared" si="1"/>
        <v>0</v>
      </c>
      <c r="J43" s="91">
        <f t="shared" si="17"/>
        <v>0</v>
      </c>
      <c r="K43" s="98">
        <f t="shared" si="2"/>
        <v>0</v>
      </c>
      <c r="L43" s="93">
        <f t="shared" si="18"/>
        <v>0</v>
      </c>
      <c r="M43" s="94">
        <f>IF($D$4="",0,IF($L43=0,0,VLOOKUP($L43,'3-1.標準報酬月額・保険料表'!$N$8:$O$57,2,TRUE)))</f>
        <v>0</v>
      </c>
      <c r="N43" s="187">
        <f t="shared" si="3"/>
        <v>0</v>
      </c>
      <c r="O43" s="94">
        <f t="shared" si="4"/>
        <v>0</v>
      </c>
      <c r="P43" s="187">
        <f t="shared" si="5"/>
        <v>0</v>
      </c>
      <c r="Q43" s="61">
        <f>IF($D$4="",0,IF($G43&lt;20,0,IF($Q$13="",0,IF($Q$13=2,0,IF($P43&lt;$R$13,0,IF($M43&lt;=620000,VLOOKUP($M43,'3-1.標準報酬月額・保険料表'!$D$8:$L$42,9,FALSE),'3-1.標準報酬月額・保険料表'!$L$42)+ROUNDDOWN($O43*$W$7,0))))))</f>
        <v>0</v>
      </c>
      <c r="R43" s="50">
        <f>IF($D$4="",0,IF($G43&lt;20,0,IF($O$9="",0,IF($Q$13=2,0,IF($D$10&gt;=$S$13,0,IF($P43&lt;$R$13,0,VLOOKUP($M43,'3-1.標準報酬月額・保険料表'!$D$8:$J$57,6,FALSE)+ROUNDDOWN($O43*$T$7,0)))))))</f>
        <v>0</v>
      </c>
      <c r="S43" s="50">
        <f>IF($D$4="",0,IF($G43&lt;20,0,IF($Q$13="",0,IF($Q$13=2,0,IF($D$10&lt;$S$13,0,IF($P43&lt;$R$13,0,VLOOKUP($M43,'3-1.標準報酬月額・保険料表'!$D$8:$J$57,7,FALSE)+ROUNDDOWN($O43*$U$7,0)))))))</f>
        <v>0</v>
      </c>
      <c r="T43" s="66">
        <f t="shared" si="19"/>
        <v>0</v>
      </c>
      <c r="U43" s="71">
        <f>IF($D$4="",0,IF($U$13="",0,IF($U$13=1,0,IF($G43&lt;$W$13,0,IF($K43&lt;$V$13,0,IF($M43&lt;=620000,VLOOKUP($M43,'3-1.標準報酬月額・保険料表'!$D$8:$L$42,9,FALSE),'3-1.標準報酬月額・保険料表'!$L$42)+ROUNDDOWN($O43*$W$7,0))))))</f>
        <v>0</v>
      </c>
      <c r="V43" s="72">
        <f>IF($D$4="",0,IF($U$13="",0,IF($U$13=1,0,IF($G43&lt;$W$13,0,IF($K43&lt;$V$13,0,IF($D$10&gt;=$X$13,0,VLOOKUP($M43,'3-1.標準報酬月額・保険料表'!$D$8:$J$57,6,FALSE)+ROUNDDOWN($O43*$T$7,0)))))))</f>
        <v>0</v>
      </c>
      <c r="W43" s="72">
        <f>IF($D$4="",0,IF($U$13="",0,IF($U$13=1,0,IF($G43&lt;$W$13,0,IF($K43&lt;$V$13,0,IF($D$10&lt;$X$13,0,VLOOKUP($M43,'3-1.標準報酬月額・保険料表'!$D$8:$J$57,7,FALSE)+ROUNDDOWN($O43*$U$7,0)))))))</f>
        <v>0</v>
      </c>
      <c r="X43" s="73">
        <f t="shared" si="20"/>
        <v>0</v>
      </c>
      <c r="Y43" s="63">
        <f t="shared" si="6"/>
        <v>0</v>
      </c>
      <c r="Z43" s="68">
        <f t="shared" si="21"/>
        <v>0</v>
      </c>
      <c r="AA43" s="152">
        <f>IF($D$4="","",VLOOKUP($K43,'3-2.所得算出参照表'!K$5:L$10,2,TRUE))</f>
        <v>1625000</v>
      </c>
      <c r="AB43" s="153">
        <f>IF($AA43="",0,IF($AA43='3-2.所得算出参照表'!$B$5,'3-2.所得算出参照表'!$E$5,IF('4-3.手当等支給メニュー (３年目or２年目)'!$AA43='3-2.所得算出参照表'!$B$6,'4-3.手当等支給メニュー (３年目or２年目)'!$K43*'3-2.所得算出参照表'!$E$6+'3-2.所得算出参照表'!$G$6,IF('4-3.手当等支給メニュー (３年目or２年目)'!$AA43='3-2.所得算出参照表'!$B$7,'4-3.手当等支給メニュー (３年目or２年目)'!$K43*'3-2.所得算出参照表'!$E$7+'3-2.所得算出参照表'!$G$7,IF('4-3.手当等支給メニュー (３年目or２年目)'!$AA43='3-2.所得算出参照表'!$B$8,'4-3.手当等支給メニュー (３年目or２年目)'!$K43*'3-2.所得算出参照表'!$E$8+'3-2.所得算出参照表'!$G$8,IF('4-3.手当等支給メニュー (３年目or２年目)'!$AA43='3-2.所得算出参照表'!$B$9,'4-3.手当等支給メニュー (３年目or２年目)'!$K43*'3-2.所得算出参照表'!$E$9+'3-2.所得算出参照表'!$G$9,IF($AA43='3-2.所得算出参照表'!$B$10,'3-2.所得算出参照表'!$G$10)))))))</f>
        <v>550000</v>
      </c>
      <c r="AC43" s="115">
        <f t="shared" si="7"/>
        <v>480000</v>
      </c>
      <c r="AD43" s="110">
        <f t="shared" si="8"/>
        <v>0</v>
      </c>
      <c r="AE43" s="155">
        <f>VLOOKUP($AD43,'3-2.所得算出参照表'!$N$4:$O$11,2,TRUE)</f>
        <v>0</v>
      </c>
      <c r="AF43" s="110">
        <f>VLOOKUP($AD43,'3-2.所得算出参照表'!$P$4:$Q$11,2,TRUE)</f>
        <v>0</v>
      </c>
      <c r="AG43" s="110">
        <f t="shared" si="27"/>
        <v>0</v>
      </c>
      <c r="AH43" s="110">
        <f>$AG43*'3-2.所得算出参照表'!$D$14</f>
        <v>0</v>
      </c>
      <c r="AI43" s="124">
        <f t="shared" si="28"/>
        <v>0</v>
      </c>
      <c r="AJ43" s="132">
        <f>IF($AA43="",0,IF($AA43='3-2.所得算出参照表'!$B$5,'3-2.所得算出参照表'!$E$5,IF('4-3.手当等支給メニュー (３年目or２年目)'!$AA43='3-2.所得算出参照表'!$B$6,'4-3.手当等支給メニュー (３年目or２年目)'!$K43*'3-2.所得算出参照表'!$E$6+'3-2.所得算出参照表'!$G$6,IF('4-3.手当等支給メニュー (３年目or２年目)'!$AA43='3-2.所得算出参照表'!$B$7,'4-3.手当等支給メニュー (３年目or２年目)'!$K43*'3-2.所得算出参照表'!$E$7+'3-2.所得算出参照表'!$G$7,IF('4-3.手当等支給メニュー (３年目or２年目)'!$AA43='3-2.所得算出参照表'!$B$8,'4-3.手当等支給メニュー (３年目or２年目)'!$K43*'3-2.所得算出参照表'!$E$8+'3-2.所得算出参照表'!$G$8,IF('4-3.手当等支給メニュー (３年目or２年目)'!$AA43='3-2.所得算出参照表'!$B$9,'4-3.手当等支給メニュー (３年目or２年目)'!$K43*'3-2.所得算出参照表'!$E$9+'3-2.所得算出参照表'!$G$9,IF($AA43='3-2.所得算出参照表'!$B$10,'3-2.所得算出参照表'!$G$10)))))))</f>
        <v>550000</v>
      </c>
      <c r="AK43" s="72">
        <f t="shared" si="9"/>
        <v>430000</v>
      </c>
      <c r="AL43" s="120">
        <f t="shared" si="10"/>
        <v>0</v>
      </c>
      <c r="AM43" s="120">
        <f t="shared" si="11"/>
        <v>0</v>
      </c>
      <c r="AN43" s="121">
        <f t="shared" si="12"/>
        <v>0</v>
      </c>
      <c r="AO43" s="128">
        <f t="shared" si="24"/>
        <v>0</v>
      </c>
      <c r="AP43" s="145">
        <f t="shared" si="13"/>
        <v>0</v>
      </c>
    </row>
    <row r="44" spans="2:42" ht="21.95" customHeight="1" thickBot="1" x14ac:dyDescent="0.2">
      <c r="B44" s="101">
        <v>30</v>
      </c>
      <c r="C44" s="487" t="str">
        <f t="shared" si="14"/>
        <v/>
      </c>
      <c r="D44" s="489" t="str">
        <f t="shared" si="15"/>
        <v/>
      </c>
      <c r="E44" s="488" t="str">
        <f t="shared" si="16"/>
        <v/>
      </c>
      <c r="F44" s="447" t="str">
        <f t="shared" si="25"/>
        <v/>
      </c>
      <c r="G44" s="85" t="str">
        <f t="shared" si="26"/>
        <v/>
      </c>
      <c r="H44" s="198" t="str">
        <f t="shared" si="0"/>
        <v/>
      </c>
      <c r="I44" s="97">
        <f t="shared" si="1"/>
        <v>0</v>
      </c>
      <c r="J44" s="92">
        <f t="shared" si="17"/>
        <v>0</v>
      </c>
      <c r="K44" s="98">
        <f t="shared" si="2"/>
        <v>0</v>
      </c>
      <c r="L44" s="95">
        <f t="shared" si="18"/>
        <v>0</v>
      </c>
      <c r="M44" s="96">
        <f>IF($D$4="",0,IF($L44=0,0,VLOOKUP($L44,'3-1.標準報酬月額・保険料表'!$N$8:$O$57,2,TRUE)))</f>
        <v>0</v>
      </c>
      <c r="N44" s="188">
        <f t="shared" si="3"/>
        <v>0</v>
      </c>
      <c r="O44" s="96">
        <f t="shared" si="4"/>
        <v>0</v>
      </c>
      <c r="P44" s="188">
        <f t="shared" si="5"/>
        <v>0</v>
      </c>
      <c r="Q44" s="62">
        <f>IF($D$4="",0,IF($G44&lt;20,0,IF($Q$13="",0,IF($Q$13=2,0,IF($P44&lt;$R$13,0,IF($M44&lt;=620000,VLOOKUP($M44,'3-1.標準報酬月額・保険料表'!$D$8:$L$42,9,FALSE),'3-1.標準報酬月額・保険料表'!$L$42)+ROUNDDOWN($O44*$W$7,0))))))</f>
        <v>0</v>
      </c>
      <c r="R44" s="70">
        <f>IF($D$4="",0,IF($G44&lt;20,0,IF($O$9="",0,IF($Q$13=2,0,IF($D$10&gt;=$S$13,0,IF($P44&lt;$R$13,0,VLOOKUP($M44,'3-1.標準報酬月額・保険料表'!$D$8:$J$57,6,FALSE)+ROUNDDOWN($O44*$T$7,0)))))))</f>
        <v>0</v>
      </c>
      <c r="S44" s="70">
        <f>IF($D$4="",0,IF($G44&lt;20,0,IF($Q$13="",0,IF($Q$13=2,0,IF($D$10&lt;$S$13,0,IF($P44&lt;$R$13,0,VLOOKUP($M44,'3-1.標準報酬月額・保険料表'!$D$8:$J$57,7,FALSE)+ROUNDDOWN($O44*$U$7,0)))))))</f>
        <v>0</v>
      </c>
      <c r="T44" s="67">
        <f t="shared" si="19"/>
        <v>0</v>
      </c>
      <c r="U44" s="74">
        <f>IF($D$4="",0,IF($U$13="",0,IF($U$13=1,0,IF($G44&lt;$W$13,0,IF($K44&lt;$V$13,0,IF($M44&lt;=620000,VLOOKUP($M44,'3-1.標準報酬月額・保険料表'!$D$8:$L$42,9,FALSE),'3-1.標準報酬月額・保険料表'!$L$42)+ROUNDDOWN($O44*$W$7,0))))))</f>
        <v>0</v>
      </c>
      <c r="V44" s="75">
        <f>IF($D$4="",0,IF($U$13="",0,IF($U$13=1,0,IF($G44&lt;$W$13,0,IF($K44&lt;$V$13,0,IF($D$10&gt;=$X$13,0,VLOOKUP($M44,'3-1.標準報酬月額・保険料表'!$D$8:$J$57,6,FALSE)+ROUNDDOWN($O44*$T$7,0)))))))</f>
        <v>0</v>
      </c>
      <c r="W44" s="75">
        <f>IF($D$4="",0,IF($U$13="",0,IF($U$13=1,0,IF($G44&lt;$W$13,0,IF($K44&lt;$V$13,0,IF($D$10&lt;$X$13,0,VLOOKUP($M44,'3-1.標準報酬月額・保険料表'!$D$8:$J$57,7,FALSE)+ROUNDDOWN($O44*$U$7,0)))))))</f>
        <v>0</v>
      </c>
      <c r="X44" s="76">
        <f t="shared" si="20"/>
        <v>0</v>
      </c>
      <c r="Y44" s="64">
        <f t="shared" si="6"/>
        <v>0</v>
      </c>
      <c r="Z44" s="69">
        <f t="shared" si="21"/>
        <v>0</v>
      </c>
      <c r="AA44" s="152">
        <f>IF($D$4="","",VLOOKUP($K44,'3-2.所得算出参照表'!K$5:L$10,2,TRUE))</f>
        <v>1625000</v>
      </c>
      <c r="AB44" s="153">
        <f>IF($AA44="",0,IF($AA44='3-2.所得算出参照表'!$B$5,'3-2.所得算出参照表'!$E$5,IF('4-3.手当等支給メニュー (３年目or２年目)'!$AA44='3-2.所得算出参照表'!$B$6,'4-3.手当等支給メニュー (３年目or２年目)'!$K44*'3-2.所得算出参照表'!$E$6+'3-2.所得算出参照表'!$G$6,IF('4-3.手当等支給メニュー (３年目or２年目)'!$AA44='3-2.所得算出参照表'!$B$7,'4-3.手当等支給メニュー (３年目or２年目)'!$K44*'3-2.所得算出参照表'!$E$7+'3-2.所得算出参照表'!$G$7,IF('4-3.手当等支給メニュー (３年目or２年目)'!$AA44='3-2.所得算出参照表'!$B$8,'4-3.手当等支給メニュー (３年目or２年目)'!$K44*'3-2.所得算出参照表'!$E$8+'3-2.所得算出参照表'!$G$8,IF('4-3.手当等支給メニュー (３年目or２年目)'!$AA44='3-2.所得算出参照表'!$B$9,'4-3.手当等支給メニュー (３年目or２年目)'!$K44*'3-2.所得算出参照表'!$E$9+'3-2.所得算出参照表'!$G$9,IF($AA44='3-2.所得算出参照表'!$B$10,'3-2.所得算出参照表'!$G$10)))))))</f>
        <v>550000</v>
      </c>
      <c r="AC44" s="115">
        <f t="shared" si="7"/>
        <v>480000</v>
      </c>
      <c r="AD44" s="110">
        <f t="shared" si="8"/>
        <v>0</v>
      </c>
      <c r="AE44" s="155">
        <f>VLOOKUP($AD44,'3-2.所得算出参照表'!$N$4:$O$11,2,TRUE)</f>
        <v>0</v>
      </c>
      <c r="AF44" s="110">
        <f>VLOOKUP($AD44,'3-2.所得算出参照表'!$P$4:$Q$11,2,TRUE)</f>
        <v>0</v>
      </c>
      <c r="AG44" s="110">
        <f t="shared" si="27"/>
        <v>0</v>
      </c>
      <c r="AH44" s="110">
        <f>$AG44*'3-2.所得算出参照表'!$D$14</f>
        <v>0</v>
      </c>
      <c r="AI44" s="124">
        <f t="shared" si="28"/>
        <v>0</v>
      </c>
      <c r="AJ44" s="133">
        <f>IF($AA44="",0,IF($AA44='3-2.所得算出参照表'!$B$5,'3-2.所得算出参照表'!$E$5,IF('4-3.手当等支給メニュー (３年目or２年目)'!$AA44='3-2.所得算出参照表'!$B$6,'4-3.手当等支給メニュー (３年目or２年目)'!$K44*'3-2.所得算出参照表'!$E$6+'3-2.所得算出参照表'!$G$6,IF('4-3.手当等支給メニュー (３年目or２年目)'!$AA44='3-2.所得算出参照表'!$B$7,'4-3.手当等支給メニュー (３年目or２年目)'!$K44*'3-2.所得算出参照表'!$E$7+'3-2.所得算出参照表'!$G$7,IF('4-3.手当等支給メニュー (３年目or２年目)'!$AA44='3-2.所得算出参照表'!$B$8,'4-3.手当等支給メニュー (３年目or２年目)'!$K44*'3-2.所得算出参照表'!$E$8+'3-2.所得算出参照表'!$G$8,IF('4-3.手当等支給メニュー (３年目or２年目)'!$AA44='3-2.所得算出参照表'!$B$9,'4-3.手当等支給メニュー (３年目or２年目)'!$K44*'3-2.所得算出参照表'!$E$9+'3-2.所得算出参照表'!$G$9,IF($AA44='3-2.所得算出参照表'!$B$10,'3-2.所得算出参照表'!$G$10)))))))</f>
        <v>550000</v>
      </c>
      <c r="AK44" s="75">
        <f t="shared" si="9"/>
        <v>430000</v>
      </c>
      <c r="AL44" s="129">
        <f t="shared" si="10"/>
        <v>0</v>
      </c>
      <c r="AM44" s="129">
        <f t="shared" si="11"/>
        <v>0</v>
      </c>
      <c r="AN44" s="130">
        <f t="shared" si="12"/>
        <v>0</v>
      </c>
      <c r="AO44" s="131">
        <f>IF($AL44*$AN$13=0,0,$AL44*$AN$13-IF($AL44&lt;=$AO$13,($AC44-$AK44)*0.05,IF($AL44&gt;$AO$13,IF($AL44&gt;$AO$13,($AC44-$AK44)-($AL44-$AO$13)*0.05)))+$AM44)</f>
        <v>0</v>
      </c>
      <c r="AP44" s="146">
        <f t="shared" si="13"/>
        <v>0</v>
      </c>
    </row>
    <row r="45" spans="2:42" x14ac:dyDescent="0.15">
      <c r="AN45" s="134"/>
    </row>
    <row r="46" spans="2:42" x14ac:dyDescent="0.15">
      <c r="AN46" s="134"/>
    </row>
    <row r="47" spans="2:42" x14ac:dyDescent="0.15">
      <c r="AN47" s="134"/>
    </row>
  </sheetData>
  <sheetProtection algorithmName="SHA-512" hashValue="UNM7X2Vyje+oPzSHGVSY3eujBUE+RY+xdha18YDHqCq4u6BYs2EeNStJswosQCzp94SPGTymkUDOH9CkeizKUg==" saltValue="UeHsU24pj7KLGxhf52STRw==" spinCount="100000" sheet="1" objects="1" scenarios="1"/>
  <mergeCells count="25">
    <mergeCell ref="T4:X4"/>
    <mergeCell ref="C5:D5"/>
    <mergeCell ref="AP13:AP14"/>
    <mergeCell ref="AW13:AW14"/>
    <mergeCell ref="AX13:AY13"/>
    <mergeCell ref="AX14:AY14"/>
    <mergeCell ref="J8:K8"/>
    <mergeCell ref="M8:O8"/>
    <mergeCell ref="AL8:AM8"/>
    <mergeCell ref="AN8:AO8"/>
    <mergeCell ref="M9:N9"/>
    <mergeCell ref="J4:J5"/>
    <mergeCell ref="K4:K5"/>
    <mergeCell ref="L4:L5"/>
    <mergeCell ref="M4:M5"/>
    <mergeCell ref="AL5:AM5"/>
    <mergeCell ref="AX15:AY15"/>
    <mergeCell ref="AX16:AY16"/>
    <mergeCell ref="AX10:AY10"/>
    <mergeCell ref="M11:N11"/>
    <mergeCell ref="AW11:AW12"/>
    <mergeCell ref="AX11:AY11"/>
    <mergeCell ref="AX12:AY12"/>
    <mergeCell ref="Y9:Y10"/>
    <mergeCell ref="M10:N10"/>
  </mergeCells>
  <phoneticPr fontId="3"/>
  <conditionalFormatting sqref="K15:K44">
    <cfRule type="expression" dxfId="23" priority="1">
      <formula>K15&gt;=$J$13</formula>
    </cfRule>
    <cfRule type="expression" dxfId="22" priority="2">
      <formula>K15&gt;=J$12</formula>
    </cfRule>
    <cfRule type="expression" dxfId="21" priority="3">
      <formula>K15&gt;$J$11</formula>
    </cfRule>
    <cfRule type="expression" dxfId="20" priority="4">
      <formula>K15&gt;$J$10</formula>
    </cfRule>
    <cfRule type="expression" dxfId="19" priority="5">
      <formula>K15&lt;=$J$9</formula>
    </cfRule>
  </conditionalFormatting>
  <pageMargins left="0.59055118110236227" right="0.59055118110236227" top="0.78740157480314965" bottom="0.59055118110236227" header="0.51181102362204722" footer="0.51181102362204722"/>
  <pageSetup paperSize="9" scale="70" pageOrder="overThenDown" orientation="landscape" r:id="rId1"/>
  <headerFooter alignWithMargins="0">
    <oddFooter>&amp;C&amp;P</oddFooter>
  </headerFooter>
  <rowBreaks count="1" manualBreakCount="1">
    <brk id="29" max="44" man="1"/>
  </rowBreaks>
  <colBreaks count="3" manualBreakCount="3">
    <brk id="16" max="43" man="1"/>
    <brk id="26" max="43" man="1"/>
    <brk id="36" max="43"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B390E-8283-4956-9120-ADB61E010F93}">
  <sheetPr>
    <tabColor rgb="FFFF6600"/>
    <pageSetUpPr autoPageBreaks="0"/>
  </sheetPr>
  <dimension ref="B1:U46"/>
  <sheetViews>
    <sheetView showGridLines="0" topLeftCell="B1" zoomScaleNormal="100" zoomScaleSheetLayoutView="80" workbookViewId="0">
      <selection activeCell="B2" sqref="B2"/>
    </sheetView>
  </sheetViews>
  <sheetFormatPr defaultRowHeight="14.25" x14ac:dyDescent="0.15"/>
  <cols>
    <col min="1" max="1" width="2.625" style="38" customWidth="1"/>
    <col min="2" max="2" width="6" style="38" customWidth="1"/>
    <col min="3" max="3" width="18.125" style="38" customWidth="1"/>
    <col min="4" max="5" width="16.75" style="38" customWidth="1"/>
    <col min="6" max="7" width="8.5" style="38" customWidth="1"/>
    <col min="8" max="8" width="11.625" style="38" customWidth="1"/>
    <col min="9" max="10" width="16.5" style="38" customWidth="1"/>
    <col min="11" max="11" width="16.25" style="38" customWidth="1"/>
    <col min="12" max="12" width="10.875" style="38" customWidth="1"/>
    <col min="13" max="13" width="12.375" style="38" customWidth="1"/>
    <col min="14" max="14" width="15.625" style="38" customWidth="1"/>
    <col min="15" max="15" width="12.25" style="38" customWidth="1"/>
    <col min="16" max="16" width="30.625" style="38" customWidth="1"/>
    <col min="17" max="17" width="9" style="134"/>
    <col min="18" max="18" width="14.25" style="38" customWidth="1"/>
    <col min="19" max="19" width="19.75" style="38" customWidth="1"/>
    <col min="20" max="20" width="31.875" style="38" customWidth="1"/>
    <col min="21" max="21" width="19.75" style="38" customWidth="1"/>
    <col min="22" max="16384" width="9" style="38"/>
  </cols>
  <sheetData>
    <row r="1" spans="2:20" ht="30.75" customHeight="1" x14ac:dyDescent="0.15">
      <c r="C1" s="148"/>
      <c r="D1" s="148"/>
      <c r="E1" s="148"/>
      <c r="F1" s="148"/>
      <c r="G1" s="148"/>
      <c r="H1" s="148"/>
      <c r="I1" s="148"/>
      <c r="J1" s="148"/>
      <c r="K1" s="148"/>
      <c r="L1" s="148"/>
      <c r="M1" s="148"/>
      <c r="N1" s="148"/>
      <c r="O1" s="148"/>
    </row>
    <row r="2" spans="2:20" ht="38.25" customHeight="1" x14ac:dyDescent="0.15">
      <c r="I2" s="413"/>
      <c r="J2" s="207"/>
    </row>
    <row r="3" spans="2:20" ht="24" customHeight="1" x14ac:dyDescent="0.15">
      <c r="C3" s="414" t="s">
        <v>379</v>
      </c>
      <c r="D3" s="415"/>
      <c r="E3" s="415"/>
      <c r="F3" s="415"/>
      <c r="G3" s="415"/>
      <c r="H3" s="415"/>
      <c r="I3" s="415"/>
      <c r="J3" s="415"/>
      <c r="K3" s="415"/>
      <c r="L3" s="415"/>
      <c r="P3" s="59" t="s">
        <v>165</v>
      </c>
    </row>
    <row r="4" spans="2:20" ht="8.25" customHeight="1" x14ac:dyDescent="0.15">
      <c r="C4" s="416"/>
      <c r="D4" s="416"/>
      <c r="E4" s="416"/>
      <c r="F4" s="416"/>
      <c r="G4" s="416"/>
      <c r="H4" s="416"/>
      <c r="I4" s="416"/>
      <c r="P4" s="397"/>
    </row>
    <row r="5" spans="2:20" ht="27.95" customHeight="1" x14ac:dyDescent="0.15">
      <c r="C5" s="671" t="s">
        <v>79</v>
      </c>
      <c r="D5" s="644">
        <f>IF('4-3.手当等支給メニュー (３年目or２年目)'!$D$4="","",'4-3.手当等支給メニュー (３年目or２年目)'!$D$4)</f>
        <v>103</v>
      </c>
      <c r="E5" s="671" t="s">
        <v>110</v>
      </c>
      <c r="F5" s="1052" t="str">
        <f>IF('4-3.手当等支給メニュー (３年目or２年目)'!$C$6="","",'4-3.手当等支給メニュー (３年目or２年目)'!$C$6)&amp;"　　様"</f>
        <v>ＡＣ　　様</v>
      </c>
      <c r="G5" s="1052"/>
      <c r="H5" s="1052"/>
      <c r="I5" s="343"/>
      <c r="K5" s="39"/>
      <c r="L5" s="1053" t="s">
        <v>350</v>
      </c>
      <c r="M5" s="1054"/>
      <c r="N5" s="1054"/>
      <c r="O5" s="1054"/>
      <c r="P5" s="1055"/>
      <c r="Q5" s="717"/>
    </row>
    <row r="6" spans="2:20" ht="27.95" customHeight="1" x14ac:dyDescent="0.15">
      <c r="C6" s="672" t="s">
        <v>168</v>
      </c>
      <c r="D6" s="442">
        <f>IF('4-3.手当等支給メニュー (３年目or２年目)'!$D$7="","",'4-3.手当等支給メニュー (３年目or２年目)'!$D$7)</f>
        <v>4</v>
      </c>
      <c r="E6" s="673" t="s">
        <v>293</v>
      </c>
      <c r="F6" s="1062">
        <f>IF('4-3.手当等支給メニュー (３年目or２年目)'!$D$9="","",'4-3.手当等支給メニュー (３年目or２年目)'!$D$9)</f>
        <v>960</v>
      </c>
      <c r="G6" s="1063"/>
      <c r="H6" s="645" t="s">
        <v>305</v>
      </c>
      <c r="I6" s="712" t="s">
        <v>166</v>
      </c>
      <c r="L6" s="1056"/>
      <c r="M6" s="1057"/>
      <c r="N6" s="1057"/>
      <c r="O6" s="1057"/>
      <c r="P6" s="1058"/>
      <c r="Q6" s="717"/>
      <c r="R6" s="134"/>
    </row>
    <row r="7" spans="2:20" ht="27.95" customHeight="1" x14ac:dyDescent="0.15">
      <c r="C7" s="672" t="s">
        <v>102</v>
      </c>
      <c r="D7" s="442">
        <f>IF('4-3.手当等支給メニュー (３年目or２年目)'!$D$8="","",'4-3.手当等支給メニュー (３年目or２年目)'!$D$8)</f>
        <v>4</v>
      </c>
      <c r="E7" s="344" t="s">
        <v>294</v>
      </c>
      <c r="F7" s="1064">
        <f>IF('4-3.手当等支給メニュー (３年目or２年目)'!$C$13="","",'4-3.手当等支給メニュー (３年目or２年目)'!$C$13)</f>
        <v>40</v>
      </c>
      <c r="G7" s="1065"/>
      <c r="H7" s="646" t="s">
        <v>305</v>
      </c>
      <c r="I7" s="713" t="s">
        <v>167</v>
      </c>
      <c r="L7" s="1059"/>
      <c r="M7" s="1060"/>
      <c r="N7" s="1060"/>
      <c r="O7" s="1060"/>
      <c r="P7" s="1061"/>
      <c r="Q7" s="717"/>
      <c r="R7" s="40"/>
      <c r="S7" s="40"/>
    </row>
    <row r="8" spans="2:20" s="40" customFormat="1" ht="7.5" customHeight="1" thickBot="1" x14ac:dyDescent="0.2">
      <c r="H8" s="211"/>
      <c r="I8" s="417"/>
      <c r="J8" s="418"/>
      <c r="K8" s="38"/>
      <c r="L8" s="38"/>
      <c r="M8" s="717"/>
      <c r="N8" s="717"/>
      <c r="O8" s="717"/>
      <c r="P8" s="717"/>
      <c r="Q8" s="717"/>
      <c r="R8" s="38"/>
      <c r="S8" s="38"/>
    </row>
    <row r="9" spans="2:20" ht="65.25" customHeight="1" thickBot="1" x14ac:dyDescent="0.2">
      <c r="B9" s="648" t="s">
        <v>18</v>
      </c>
      <c r="C9" s="652" t="s">
        <v>295</v>
      </c>
      <c r="D9" s="652" t="s">
        <v>325</v>
      </c>
      <c r="E9" s="652" t="s">
        <v>326</v>
      </c>
      <c r="F9" s="652" t="s">
        <v>356</v>
      </c>
      <c r="G9" s="652" t="s">
        <v>48</v>
      </c>
      <c r="H9" s="652" t="s">
        <v>106</v>
      </c>
      <c r="I9" s="653" t="s">
        <v>296</v>
      </c>
      <c r="J9" s="653" t="s">
        <v>256</v>
      </c>
      <c r="K9" s="654" t="s">
        <v>357</v>
      </c>
      <c r="L9" s="655" t="s">
        <v>91</v>
      </c>
      <c r="M9" s="656" t="s">
        <v>141</v>
      </c>
      <c r="N9" s="657" t="s">
        <v>120</v>
      </c>
      <c r="O9" s="657" t="s">
        <v>303</v>
      </c>
      <c r="P9" s="430" t="s">
        <v>324</v>
      </c>
      <c r="R9" s="1066" t="s">
        <v>314</v>
      </c>
      <c r="S9" s="1067"/>
      <c r="T9" s="425"/>
    </row>
    <row r="10" spans="2:20" ht="13.5" hidden="1" customHeight="1" thickBot="1" x14ac:dyDescent="0.2">
      <c r="B10" s="647"/>
      <c r="C10" s="401"/>
      <c r="D10" s="401"/>
      <c r="E10" s="401"/>
      <c r="F10" s="401"/>
      <c r="G10" s="401"/>
      <c r="H10" s="401"/>
      <c r="I10" s="402"/>
      <c r="J10" s="403">
        <v>0</v>
      </c>
      <c r="K10" s="404"/>
      <c r="L10" s="404"/>
      <c r="M10" s="404"/>
      <c r="N10" s="405"/>
      <c r="O10" s="409"/>
      <c r="P10" s="431"/>
      <c r="R10" s="395"/>
      <c r="S10" s="400"/>
    </row>
    <row r="11" spans="2:20" ht="24" customHeight="1" thickBot="1" x14ac:dyDescent="0.2">
      <c r="B11" s="649">
        <v>1</v>
      </c>
      <c r="C11" s="434">
        <f>IF('4-3.手当等支給メニュー (３年目or２年目)'!$C15="","",'4-3.手当等支給メニュー (３年目or２年目)'!$C15)</f>
        <v>1000</v>
      </c>
      <c r="D11" s="658">
        <f>IF($C11="","",IF('4-3.手当等支給メニュー (３年目or２年目)'!$D15="","",'4-3.手当等支給メニュー (３年目or２年目)'!$D15))</f>
        <v>0.18</v>
      </c>
      <c r="E11" s="435">
        <f>IF($C11="","",IF('4-3.手当等支給メニュー (３年目or２年目)'!$E15="","",'4-3.手当等支給メニュー (３年目or２年目)'!$E15))</f>
        <v>1180</v>
      </c>
      <c r="F11" s="659">
        <f>IF($C11="","",IF('4-3.手当等支給メニュー (３年目or２年目)'!$F15="","",'4-3.手当等支給メニュー (３年目or２年目)'!$F15))</f>
        <v>0</v>
      </c>
      <c r="G11" s="660">
        <f>IF($C11="","",IF('4-3.手当等支給メニュー (３年目or２年目)'!$G15="","",'4-3.手当等支給メニュー (３年目or２年目)'!$G15))</f>
        <v>21</v>
      </c>
      <c r="H11" s="436">
        <f>IF($C11="","",IF('4-3.手当等支給メニュー (３年目or２年目)'!$I15="","",'4-3.手当等支給メニュー (３年目or２年目)'!$I15))</f>
        <v>107675</v>
      </c>
      <c r="I11" s="437">
        <f>IF($C11="","",IF('4-3.手当等支給メニュー (３年目or２年目)'!$J15="","",'4-3.手当等支給メニュー (３年目or２年目)'!$J15))</f>
        <v>109675</v>
      </c>
      <c r="J11" s="661">
        <f>IF($C11="","",IF('4-3.手当等支給メニュー (３年目or２年目)'!$K15="","",'4-3.手当等支給メニュー (３年目or２年目)'!$K15))</f>
        <v>1316100</v>
      </c>
      <c r="K11" s="662">
        <f>IF($C11="","",IF('4-3.手当等支給メニュー (３年目or２年目)'!$Z15="","",'4-3.手当等支給メニュー (３年目or２年目)'!$Z15))</f>
        <v>196590.6</v>
      </c>
      <c r="L11" s="436">
        <f>IF($C11="","",IF('4-3.手当等支給メニュー (３年目or２年目)'!$AI15="","",'4-3.手当等支給メニュー (３年目or２年目)'!$AI15))</f>
        <v>4500</v>
      </c>
      <c r="M11" s="663">
        <f>IF($C11="","",IF('4-3.手当等支給メニュー (３年目or２年目)'!$AO15="","",'4-3.手当等支給メニュー (３年目or２年目)'!$AO15))</f>
        <v>16900</v>
      </c>
      <c r="N11" s="661">
        <f>IF($C11="","",IF('4-3.手当等支給メニュー (３年目or２年目)'!$AP15="","",'4-3.手当等支給メニュー (３年目or２年目)'!$AP15))</f>
        <v>1098109.3999999999</v>
      </c>
      <c r="O11" s="410" t="s">
        <v>302</v>
      </c>
      <c r="P11" s="643"/>
      <c r="R11" s="419">
        <v>1000000</v>
      </c>
      <c r="S11" s="420" t="s">
        <v>298</v>
      </c>
      <c r="T11" s="411" t="s">
        <v>306</v>
      </c>
    </row>
    <row r="12" spans="2:20" ht="24" customHeight="1" x14ac:dyDescent="0.15">
      <c r="B12" s="650">
        <v>2</v>
      </c>
      <c r="C12" s="438">
        <f>IF('4-3.手当等支給メニュー (３年目or２年目)'!$C16="","",'4-3.手当等支給メニュー (３年目or２年目)'!$C16)</f>
        <v>1000</v>
      </c>
      <c r="D12" s="433">
        <f>IF($C12="","",IF('4-3.手当等支給メニュー (３年目or２年目)'!$D16="","",'4-3.手当等支給メニュー (３年目or２年目)'!$D16))</f>
        <v>0.15</v>
      </c>
      <c r="E12" s="664">
        <f>IF($C12="","",IF('4-3.手当等支給メニュー (３年目or２年目)'!$E16="","",'4-3.手当等支給メニュー (３年目or２年目)'!$E16))</f>
        <v>1150</v>
      </c>
      <c r="F12" s="660">
        <f>IF($C12="","",IF('4-3.手当等支給メニュー (３年目or２年目)'!$F16="","",'4-3.手当等支給メニュー (３年目or２年目)'!$F16))</f>
        <v>1</v>
      </c>
      <c r="G12" s="665">
        <f>IF($C12="","",IF('4-3.手当等支給メニュー (３年目or２年目)'!$G16="","",'4-3.手当等支給メニュー (３年目or２年目)'!$G16))</f>
        <v>22</v>
      </c>
      <c r="H12" s="439">
        <f>IF($C12="","",IF('4-3.手当等支給メニュー (３年目or２年目)'!$I16="","",'4-3.手当等支給メニュー (３年目or２年目)'!$I16))</f>
        <v>109934.5238095238</v>
      </c>
      <c r="I12" s="440">
        <f>IF($C12="","",IF('4-3.手当等支給メニュー (３年目or２年目)'!$J16="","",'4-3.手当等支給メニュー (３年目or２年目)'!$J16))</f>
        <v>111934.5238095238</v>
      </c>
      <c r="J12" s="661">
        <f>IF($C12="","",IF('4-3.手当等支給メニュー (３年目or２年目)'!$K16="","",'4-3.手当等支給メニュー (３年目or２年目)'!$K16))</f>
        <v>1343214.2857142857</v>
      </c>
      <c r="K12" s="666">
        <f>IF($C12="","",IF('4-3.手当等支給メニュー (３年目or２年目)'!$Z16="","",'4-3.手当等支給メニュー (３年目or２年目)'!$Z16))</f>
        <v>210476.48571428569</v>
      </c>
      <c r="L12" s="667">
        <f>IF($C12="","",IF('4-3.手当等支給メニュー (３年目or２年目)'!$AI16="","",'4-3.手当等支給メニュー (３年目or２年目)'!$AI16))</f>
        <v>5200</v>
      </c>
      <c r="M12" s="668">
        <f>IF($C12="","",IF('4-3.手当等支給メニュー (３年目or２年目)'!$AO16="","",'4-3.手当等支給メニュー (３年目or２年目)'!$AO16))</f>
        <v>18200</v>
      </c>
      <c r="N12" s="661">
        <f>IF($C12="","",IF('4-3.手当等支給メニュー (３年目or２年目)'!$AP16="","",'4-3.手当等支給メニュー (３年目or２年目)'!$AP16))</f>
        <v>1109337.8</v>
      </c>
      <c r="O12" s="346">
        <f>IF($C12="","",IF($N12=0,0,$N12-$N11))</f>
        <v>11228.40000000014</v>
      </c>
      <c r="P12" s="643"/>
      <c r="R12" s="399">
        <v>1000000</v>
      </c>
      <c r="S12" s="421" t="s">
        <v>299</v>
      </c>
      <c r="T12" s="412" t="s">
        <v>306</v>
      </c>
    </row>
    <row r="13" spans="2:20" ht="24" customHeight="1" x14ac:dyDescent="0.15">
      <c r="B13" s="651">
        <v>3</v>
      </c>
      <c r="C13" s="438">
        <f>IF('4-3.手当等支給メニュー (３年目or２年目)'!$C17="","",'4-3.手当等支給メニュー (３年目or２年目)'!$C17)</f>
        <v>1000</v>
      </c>
      <c r="D13" s="433">
        <f>IF($C13="","",IF('4-3.手当等支給メニュー (３年目or２年目)'!$D17="","",'4-3.手当等支給メニュー (３年目or２年目)'!$D17))</f>
        <v>0.1</v>
      </c>
      <c r="E13" s="660">
        <f>IF($C13="","",IF('4-3.手当等支給メニュー (３年目or２年目)'!$E17="","",'4-3.手当等支給メニュー (３年目or２年目)'!$E17))</f>
        <v>1100</v>
      </c>
      <c r="F13" s="660">
        <f>IF($C13="","",IF('4-3.手当等支給メニュー (３年目or２年目)'!$F17="","",'4-3.手当等支給メニュー (３年目or２年目)'!$F17))</f>
        <v>2</v>
      </c>
      <c r="G13" s="665">
        <f>IF($C13="","",IF('4-3.手当等支給メニュー (３年目or２年目)'!$G17="","",'4-3.手当等支給メニュー (３年目or２年目)'!$G17))</f>
        <v>23</v>
      </c>
      <c r="H13" s="439">
        <f>IF($C13="","",IF('4-3.手当等支給メニュー (３年目or２年目)'!$I17="","",'4-3.手当等支給メニュー (３年目or２年目)'!$I17))</f>
        <v>109934.5238095238</v>
      </c>
      <c r="I13" s="440">
        <f>IF($C13="","",IF('4-3.手当等支給メニュー (３年目or２年目)'!$J17="","",'4-3.手当等支給メニュー (３年目or２年目)'!$J17))</f>
        <v>111934.5238095238</v>
      </c>
      <c r="J13" s="661">
        <f>IF($C13="","",IF('4-3.手当等支給メニュー (３年目or２年目)'!$K17="","",'4-3.手当等支給メニュー (３年目or２年目)'!$K17))</f>
        <v>1343214.2857142857</v>
      </c>
      <c r="K13" s="666">
        <f>IF($C13="","",IF('4-3.手当等支給メニュー (３年目or２年目)'!$Z17="","",'4-3.手当等支給メニュー (３年目or２年目)'!$Z17))</f>
        <v>210476.48571428569</v>
      </c>
      <c r="L13" s="667">
        <f>IF($C13="","",IF('4-3.手当等支給メニュー (３年目or２年目)'!$AI17="","",'4-3.手当等支給メニュー (３年目or２年目)'!$AI17))</f>
        <v>5200</v>
      </c>
      <c r="M13" s="668">
        <f>IF($C13="","",IF('4-3.手当等支給メニュー (３年目or２年目)'!$AO17="","",'4-3.手当等支給メニュー (３年目or２年目)'!$AO17))</f>
        <v>18200</v>
      </c>
      <c r="N13" s="661">
        <f>IF($C13="","",IF('4-3.手当等支給メニュー (３年目or２年目)'!$AP17="","",'4-3.手当等支給メニュー (３年目or２年目)'!$AP17))</f>
        <v>1109337.8</v>
      </c>
      <c r="O13" s="346">
        <f t="shared" ref="O13:O40" si="0">IF($C13="","",IF($N13=0,0,$N13-$N12))</f>
        <v>0</v>
      </c>
      <c r="P13" s="643"/>
      <c r="R13" s="399">
        <v>1030000</v>
      </c>
      <c r="S13" s="422" t="s">
        <v>301</v>
      </c>
      <c r="T13" s="412" t="s">
        <v>307</v>
      </c>
    </row>
    <row r="14" spans="2:20" ht="24" customHeight="1" x14ac:dyDescent="0.15">
      <c r="B14" s="650">
        <v>4</v>
      </c>
      <c r="C14" s="438">
        <f>IF('4-3.手当等支給メニュー (３年目or２年目)'!$C18="","",'4-3.手当等支給メニュー (３年目or２年目)'!$C18)</f>
        <v>1000</v>
      </c>
      <c r="D14" s="433">
        <f>IF($C14="","",IF('4-3.手当等支給メニュー (３年目or２年目)'!$D18="","",'4-3.手当等支給メニュー (３年目or２年目)'!$D18))</f>
        <v>0.05</v>
      </c>
      <c r="E14" s="660">
        <f>IF($C14="","",IF('4-3.手当等支給メニュー (３年目or２年目)'!$E18="","",'4-3.手当等支給メニュー (３年目or２年目)'!$E18))</f>
        <v>1050</v>
      </c>
      <c r="F14" s="665">
        <f>IF($C14="","",IF('4-3.手当等支給メニュー (３年目or２年目)'!$F18="","",'4-3.手当等支給メニュー (３年目or２年目)'!$F18))</f>
        <v>3</v>
      </c>
      <c r="G14" s="665">
        <f>IF($C14="","",IF('4-3.手当等支給メニュー (３年目or２年目)'!$G18="","",'4-3.手当等支給メニュー (３年目or２年目)'!$G18))</f>
        <v>24</v>
      </c>
      <c r="H14" s="439">
        <f>IF($C14="","",IF('4-3.手当等支給メニュー (３年目or２年目)'!$I18="","",'4-3.手当等支給メニュー (３年目or２年目)'!$I18))</f>
        <v>109500</v>
      </c>
      <c r="I14" s="440">
        <f>IF($C14="","",IF('4-3.手当等支給メニュー (３年目or２年目)'!$J18="","",'4-3.手当等支給メニュー (３年目or２年目)'!$J18))</f>
        <v>111500</v>
      </c>
      <c r="J14" s="661">
        <f>IF($C14="","",IF('4-3.手当等支給メニュー (３年目or２年目)'!$K18="","",'4-3.手当等支給メニュー (３年目or２年目)'!$K18))</f>
        <v>1338000</v>
      </c>
      <c r="K14" s="666">
        <f>IF($C14="","",IF('4-3.手当等支給メニュー (３年目or２年目)'!$Z18="","",'4-3.手当等支給メニュー (３年目or２年目)'!$Z18))</f>
        <v>210445.19999999998</v>
      </c>
      <c r="L14" s="667">
        <f>IF($C14="","",IF('4-3.手当等支給メニュー (３年目or２年目)'!$AI18="","",'4-3.手当等支給メニュー (３年目or２年目)'!$AI18))</f>
        <v>4900</v>
      </c>
      <c r="M14" s="668">
        <f>IF($C14="","",IF('4-3.手当等支給メニュー (３年目or２年目)'!$AO18="","",'4-3.手当等支給メニュー (３年目or２年目)'!$AO18))</f>
        <v>17700</v>
      </c>
      <c r="N14" s="661">
        <f>IF($C14="","",IF('4-3.手当等支給メニュー (３年目or２年目)'!$AP18="","",'4-3.手当等支給メニュー (３年目or２年目)'!$AP18))</f>
        <v>1104954.8</v>
      </c>
      <c r="O14" s="394">
        <f t="shared" si="0"/>
        <v>-4383</v>
      </c>
      <c r="P14" s="643"/>
      <c r="R14" s="399">
        <v>1060000</v>
      </c>
      <c r="S14" s="398" t="s">
        <v>309</v>
      </c>
      <c r="T14" s="412" t="s">
        <v>310</v>
      </c>
    </row>
    <row r="15" spans="2:20" ht="24" customHeight="1" thickBot="1" x14ac:dyDescent="0.2">
      <c r="B15" s="651">
        <v>5</v>
      </c>
      <c r="C15" s="438">
        <f>IF('4-3.手当等支給メニュー (３年目or２年目)'!$C19="","",'4-3.手当等支給メニュー (３年目or２年目)'!$C19)</f>
        <v>1000</v>
      </c>
      <c r="D15" s="433">
        <f>IF($C15="","",IF('4-3.手当等支給メニュー (３年目or２年目)'!$D19="","",'4-3.手当等支給メニュー (３年目or２年目)'!$D19))</f>
        <v>0</v>
      </c>
      <c r="E15" s="660">
        <f>IF($C15="","",IF('4-3.手当等支給メニュー (３年目or２年目)'!$E19="","",'4-3.手当等支給メニュー (３年目or２年目)'!$E19))</f>
        <v>1000</v>
      </c>
      <c r="F15" s="665">
        <f>IF($C15="","",IF('4-3.手当等支給メニュー (３年目or２年目)'!$F19="","",'4-3.手当等支給メニュー (３年目or２年目)'!$F19))</f>
        <v>4</v>
      </c>
      <c r="G15" s="665">
        <f>IF($C15="","",IF('4-3.手当等支給メニュー (３年目or２年目)'!$G19="","",'4-3.手当等支給メニュー (３年目or２年目)'!$G19))</f>
        <v>25</v>
      </c>
      <c r="H15" s="439">
        <f>IF($C15="","",IF('4-3.手当等支給メニュー (３年目or２年目)'!$I19="","",'4-3.手当等支給メニュー (３年目or２年目)'!$I19))</f>
        <v>108630.95238095238</v>
      </c>
      <c r="I15" s="440">
        <f>IF($C15="","",IF('4-3.手当等支給メニュー (３年目or２年目)'!$J19="","",'4-3.手当等支給メニュー (３年目or２年目)'!$J19))</f>
        <v>110630.95238095238</v>
      </c>
      <c r="J15" s="661">
        <f>IF($C15="","",IF('4-3.手当等支給メニュー (３年目or２年目)'!$K19="","",'4-3.手当等支給メニュー (３年目or２年目)'!$K19))</f>
        <v>1327571.4285714286</v>
      </c>
      <c r="K15" s="666">
        <f>IF($C15="","",IF('4-3.手当等支給メニュー (３年目or２年目)'!$Z19="","",'4-3.手当等支給メニュー (３年目or２年目)'!$Z19))</f>
        <v>196659.42857142858</v>
      </c>
      <c r="L15" s="667">
        <f>IF($C15="","",IF('4-3.手当等支給メニュー (３年目or２年目)'!$AI19="","",'4-3.手当等支給メニュー (３年目or２年目)'!$AI19))</f>
        <v>5100</v>
      </c>
      <c r="M15" s="668">
        <f>IF($C15="","",IF('4-3.手当等支給メニュー (３年目or２年目)'!$AO19="","",'4-3.手当等支給メニュー (３年目or２年目)'!$AO19))</f>
        <v>18000</v>
      </c>
      <c r="N15" s="661">
        <f>IF($C15="","",IF('4-3.手当等支給メニュー (３年目or２年目)'!$AP19="","",'4-3.手当等支給メニュー (３年目or２年目)'!$AP19))</f>
        <v>1107812</v>
      </c>
      <c r="O15" s="394">
        <f t="shared" si="0"/>
        <v>2857.1999999999534</v>
      </c>
      <c r="P15" s="643"/>
      <c r="R15" s="423">
        <v>1300000</v>
      </c>
      <c r="S15" s="424" t="s">
        <v>300</v>
      </c>
      <c r="T15" s="429" t="s">
        <v>308</v>
      </c>
    </row>
    <row r="16" spans="2:20" ht="24" customHeight="1" x14ac:dyDescent="0.15">
      <c r="B16" s="651">
        <v>6</v>
      </c>
      <c r="C16" s="438">
        <f>IF('4-3.手当等支給メニュー (３年目or２年目)'!$C20="","",'4-3.手当等支給メニュー (３年目or２年目)'!$C20)</f>
        <v>1000</v>
      </c>
      <c r="D16" s="433">
        <f>IF($C16="","",IF('4-3.手当等支給メニュー (３年目or２年目)'!$D20="","",'4-3.手当等支給メニュー (３年目or２年目)'!$D20))</f>
        <v>0</v>
      </c>
      <c r="E16" s="660">
        <f>IF($C16="","",IF('4-3.手当等支給メニュー (３年目or２年目)'!$E20="","",'4-3.手当等支給メニュー (３年目or２年目)'!$E20))</f>
        <v>1000</v>
      </c>
      <c r="F16" s="665">
        <f>IF($C16="","",IF('4-3.手当等支給メニュー (３年目or２年目)'!$F20="","",'4-3.手当等支給メニュー (３年目or２年目)'!$F20))</f>
        <v>5</v>
      </c>
      <c r="G16" s="665">
        <f>IF($C16="","",IF('4-3.手当等支給メニュー (３年目or２年目)'!$G20="","",'4-3.手当等支給メニュー (３年目or２年目)'!$G20))</f>
        <v>26</v>
      </c>
      <c r="H16" s="439">
        <f>IF($C16="","",IF('4-3.手当等支給メニュー (３年目or２年目)'!$I20="","",'4-3.手当等支給メニュー (３年目or２年目)'!$I20))</f>
        <v>112976.19047619047</v>
      </c>
      <c r="I16" s="440">
        <f>IF($C16="","",IF('4-3.手当等支給メニュー (３年目or２年目)'!$J20="","",'4-3.手当等支給メニュー (３年目or２年目)'!$J20))</f>
        <v>114976.19047619047</v>
      </c>
      <c r="J16" s="661">
        <f>IF($C16="","",IF('4-3.手当等支給メニュー (３年目or２年目)'!$K20="","",'4-3.手当等支給メニュー (３年目or２年目)'!$K20))</f>
        <v>1379714.2857142857</v>
      </c>
      <c r="K16" s="666">
        <f>IF($C16="","",IF('4-3.手当等支給メニュー (３年目or２年目)'!$Z20="","",'4-3.手当等支給メニュー (３年目or２年目)'!$Z20))</f>
        <v>210695.48571428569</v>
      </c>
      <c r="L16" s="667">
        <f>IF($C16="","",IF('4-3.手当等支給メニュー (３年目or２年目)'!$AI20="","",'4-3.手当等支給メニュー (３年目or２年目)'!$AI20))</f>
        <v>7000</v>
      </c>
      <c r="M16" s="668">
        <f>IF($C16="","",IF('4-3.手当等支給メニュー (３年目or２年目)'!$AO20="","",'4-3.手当等支給メニュー (３年目or２年目)'!$AO20))</f>
        <v>21900</v>
      </c>
      <c r="N16" s="661">
        <f>IF($C16="","",IF('4-3.手当等支給メニュー (３年目or２年目)'!$AP20="","",'4-3.手当等支給メニュー (３年目or２年目)'!$AP20))</f>
        <v>1140118.8</v>
      </c>
      <c r="O16" s="394">
        <f t="shared" si="0"/>
        <v>32306.800000000047</v>
      </c>
      <c r="P16" s="643"/>
      <c r="Q16" s="444"/>
      <c r="R16" s="406" t="s">
        <v>312</v>
      </c>
      <c r="S16" s="426"/>
      <c r="T16" s="425"/>
    </row>
    <row r="17" spans="2:21" ht="24" customHeight="1" x14ac:dyDescent="0.15">
      <c r="B17" s="651">
        <v>7</v>
      </c>
      <c r="C17" s="438">
        <f>IF('4-3.手当等支給メニュー (３年目or２年目)'!$C21="","",'4-3.手当等支給メニュー (３年目or２年目)'!$C21)</f>
        <v>1000</v>
      </c>
      <c r="D17" s="433">
        <f>IF($C17="","",IF('4-3.手当等支給メニュー (３年目or２年目)'!$D21="","",'4-3.手当等支給メニュー (３年目or２年目)'!$D21))</f>
        <v>0</v>
      </c>
      <c r="E17" s="660">
        <f>IF($C17="","",IF('4-3.手当等支給メニュー (３年目or２年目)'!$E21="","",'4-3.手当等支給メニュー (３年目or２年目)'!$E21))</f>
        <v>1000</v>
      </c>
      <c r="F17" s="665">
        <f>IF($C17="","",IF('4-3.手当等支給メニュー (３年目or２年目)'!$F21="","",'4-3.手当等支給メニュー (３年目or２年目)'!$F21))</f>
        <v>6</v>
      </c>
      <c r="G17" s="665">
        <f>IF($C17="","",IF('4-3.手当等支給メニュー (３年目or２年目)'!$G21="","",'4-3.手当等支給メニュー (３年目or２年目)'!$G21))</f>
        <v>27</v>
      </c>
      <c r="H17" s="439">
        <f>IF($C17="","",IF('4-3.手当等支給メニュー (３年目or２年目)'!$I21="","",'4-3.手当等支給メニュー (３年目or２年目)'!$I21))</f>
        <v>117321.42857142858</v>
      </c>
      <c r="I17" s="440">
        <f>IF($C17="","",IF('4-3.手当等支給メニュー (３年目or２年目)'!$J21="","",'4-3.手当等支給メニュー (３年目or２年目)'!$J21))</f>
        <v>119321.42857142858</v>
      </c>
      <c r="J17" s="661">
        <f>IF($C17="","",IF('4-3.手当等支給メニュー (３年目or２年目)'!$K21="","",'4-3.手当等支給メニュー (３年目or２年目)'!$K21))</f>
        <v>1431857.142857143</v>
      </c>
      <c r="K17" s="666">
        <f>IF($C17="","",IF('4-3.手当等支給メニュー (３年目or２年目)'!$Z21="","",'4-3.手当等支給メニュー (３年目or２年目)'!$Z21))</f>
        <v>211008.34285714285</v>
      </c>
      <c r="L17" s="667">
        <f>IF($C17="","",IF('4-3.手当等支給メニュー (３年目or２年目)'!$AI21="","",'4-3.手当等支給メニュー (３年目or２年目)'!$AI21))</f>
        <v>9600</v>
      </c>
      <c r="M17" s="668">
        <f>IF($C17="","",IF('4-3.手当等支給メニュー (３年目or２年目)'!$AO21="","",'4-3.手当等支給メニュー (３年目or２年目)'!$AO21))</f>
        <v>27000</v>
      </c>
      <c r="N17" s="661">
        <f>IF($C17="","",IF('4-3.手当等支給メニュー (３年目or２年目)'!$AP21="","",'4-3.手当等支給メニュー (３年目or２年目)'!$AP21))</f>
        <v>1184248.8</v>
      </c>
      <c r="O17" s="394">
        <f t="shared" si="0"/>
        <v>44130</v>
      </c>
      <c r="P17" s="643"/>
      <c r="Q17" s="444"/>
      <c r="R17" s="407" t="s">
        <v>313</v>
      </c>
      <c r="S17" s="427"/>
      <c r="T17" s="425"/>
    </row>
    <row r="18" spans="2:21" ht="24" customHeight="1" thickBot="1" x14ac:dyDescent="0.2">
      <c r="B18" s="650">
        <v>8</v>
      </c>
      <c r="C18" s="438">
        <f>IF('4-3.手当等支給メニュー (３年目or２年目)'!$C22="","",'4-3.手当等支給メニュー (３年目or２年目)'!$C22)</f>
        <v>1000</v>
      </c>
      <c r="D18" s="433">
        <f>IF($C18="","",IF('4-3.手当等支給メニュー (３年目or２年目)'!$D22="","",'4-3.手当等支給メニュー (３年目or２年目)'!$D22))</f>
        <v>0</v>
      </c>
      <c r="E18" s="660">
        <f>IF($C18="","",IF('4-3.手当等支給メニュー (３年目or２年目)'!$E22="","",'4-3.手当等支給メニュー (３年目or２年目)'!$E22))</f>
        <v>1000</v>
      </c>
      <c r="F18" s="665">
        <f>IF($C18="","",IF('4-3.手当等支給メニュー (３年目or２年目)'!$F22="","",'4-3.手当等支給メニュー (３年目or２年目)'!$F22))</f>
        <v>7</v>
      </c>
      <c r="G18" s="665">
        <f>IF($C18="","",IF('4-3.手当等支給メニュー (３年目or２年目)'!$G22="","",'4-3.手当等支給メニュー (３年目or２年目)'!$G22))</f>
        <v>28</v>
      </c>
      <c r="H18" s="439">
        <f>IF($C18="","",IF('4-3.手当等支給メニュー (３年目or２年目)'!$I22="","",'4-3.手当等支給メニュー (３年目or２年目)'!$I22))</f>
        <v>121666.66666666667</v>
      </c>
      <c r="I18" s="440">
        <f>IF($C18="","",IF('4-3.手当等支給メニュー (３年目or２年目)'!$J22="","",'4-3.手当等支給メニュー (３年目or２年目)'!$J22))</f>
        <v>123666.66666666667</v>
      </c>
      <c r="J18" s="661">
        <f>IF($C18="","",IF('4-3.手当等支給メニュー (３年目or２年目)'!$K22="","",'4-3.手当等支給メニュー (３年目or２年目)'!$K22))</f>
        <v>1484000</v>
      </c>
      <c r="K18" s="666">
        <f>IF($C18="","",IF('4-3.手当等支給メニュー (３年目or２年目)'!$Z22="","",'4-3.手当等支給メニュー (３年目or２年目)'!$Z22))</f>
        <v>225044.40000000002</v>
      </c>
      <c r="L18" s="667">
        <f>IF($C18="","",IF('4-3.手当等支給メニュー (３年目or２年目)'!$AI22="","",'4-3.手当等支給メニュー (３年目or２年目)'!$AI22))</f>
        <v>11600</v>
      </c>
      <c r="M18" s="668">
        <f>IF($C18="","",IF('4-3.手当等支給メニュー (３年目or２年目)'!$AO22="","",'4-3.手当等支給メニュー (３年目or２年目)'!$AO22))</f>
        <v>30800</v>
      </c>
      <c r="N18" s="661">
        <f>IF($C18="","",IF('4-3.手当等支給メニュー (３年目or２年目)'!$AP22="","",'4-3.手当等支給メニュー (３年目or２年目)'!$AP22))</f>
        <v>1216555.6000000001</v>
      </c>
      <c r="O18" s="394">
        <f t="shared" si="0"/>
        <v>32306.800000000047</v>
      </c>
      <c r="P18" s="643"/>
      <c r="Q18" s="444"/>
      <c r="R18" s="408" t="s">
        <v>311</v>
      </c>
      <c r="S18" s="428">
        <f>IF('4-3.手当等支給メニュー (３年目or２年目)'!$J$2="","",'4-3.手当等支給メニュー (３年目or２年目)'!$J$2)</f>
        <v>3</v>
      </c>
      <c r="T18" s="425"/>
    </row>
    <row r="19" spans="2:21" ht="24" customHeight="1" thickBot="1" x14ac:dyDescent="0.2">
      <c r="B19" s="651">
        <v>9</v>
      </c>
      <c r="C19" s="438">
        <f>IF('4-3.手当等支給メニュー (３年目or２年目)'!$C23="","",'4-3.手当等支給メニュー (３年目or２年目)'!$C23)</f>
        <v>1000</v>
      </c>
      <c r="D19" s="433">
        <f>IF($C19="","",IF('4-3.手当等支給メニュー (３年目or２年目)'!$D23="","",'4-3.手当等支給メニュー (３年目or２年目)'!$D23))</f>
        <v>0</v>
      </c>
      <c r="E19" s="660">
        <f>IF($C19="","",IF('4-3.手当等支給メニュー (３年目or２年目)'!$E23="","",'4-3.手当等支給メニュー (３年目or２年目)'!$E23))</f>
        <v>1000</v>
      </c>
      <c r="F19" s="665">
        <f>IF($C19="","",IF('4-3.手当等支給メニュー (３年目or２年目)'!$F23="","",'4-3.手当等支給メニュー (３年目or２年目)'!$F23))</f>
        <v>8</v>
      </c>
      <c r="G19" s="665">
        <f>IF($C19="","",IF('4-3.手当等支給メニュー (３年目or２年目)'!$G23="","",'4-3.手当等支給メニュー (３年目or２年目)'!$G23))</f>
        <v>29</v>
      </c>
      <c r="H19" s="439">
        <f>IF($C19="","",IF('4-3.手当等支給メニュー (３年目or２年目)'!$I23="","",'4-3.手当等支給メニュー (３年目or２年目)'!$I23))</f>
        <v>126011.90476190475</v>
      </c>
      <c r="I19" s="440">
        <f>IF($C19="","",IF('4-3.手当等支給メニュー (３年目or２年目)'!$J23="","",'4-3.手当等支給メニュー (３年目or２年目)'!$J23))</f>
        <v>128011.90476190475</v>
      </c>
      <c r="J19" s="661">
        <f>IF($C19="","",IF('4-3.手当等支給メニュー (３年目or２年目)'!$K23="","",'4-3.手当等支給メニュー (３年目or２年目)'!$K23))</f>
        <v>1536142.857142857</v>
      </c>
      <c r="K19" s="666">
        <f>IF($C19="","",IF('4-3.手当等支給メニュー (３年目or２年目)'!$Z23="","",'4-3.手当等支給メニュー (３年目or２年目)'!$Z23))</f>
        <v>239080.45714285711</v>
      </c>
      <c r="L19" s="667">
        <f>IF($C19="","",IF('4-3.手当等支給メニュー (３年目or２年目)'!$AI23="","",'4-3.手当等支給メニュー (３年目or２年目)'!$AI23))</f>
        <v>13600</v>
      </c>
      <c r="M19" s="668">
        <f>IF($C19="","",IF('4-3.手当等支給メニュー (３年目or２年目)'!$AO23="","",'4-3.手当等支給メニュー (３年目or２年目)'!$AO23))</f>
        <v>34700</v>
      </c>
      <c r="N19" s="661">
        <f>IF($C19="","",IF('4-3.手当等支給メニュー (３年目or２年目)'!$AP23="","",'4-3.手当等支給メニュー (３年目or２年目)'!$AP23))</f>
        <v>1248762.3999999999</v>
      </c>
      <c r="O19" s="394">
        <f t="shared" si="0"/>
        <v>32206.799999999814</v>
      </c>
      <c r="P19" s="643"/>
      <c r="R19" s="443">
        <f>88000+$H$12-$H$11</f>
        <v>90259.523809523787</v>
      </c>
    </row>
    <row r="20" spans="2:21" ht="24" customHeight="1" x14ac:dyDescent="0.15">
      <c r="B20" s="651">
        <v>10</v>
      </c>
      <c r="C20" s="438">
        <f>IF('4-3.手当等支給メニュー (３年目or２年目)'!$C24="","",'4-3.手当等支給メニュー (３年目or２年目)'!$C24)</f>
        <v>1000</v>
      </c>
      <c r="D20" s="433">
        <f>IF($C20="","",IF('4-3.手当等支給メニュー (３年目or２年目)'!$D24="","",'4-3.手当等支給メニュー (３年目or２年目)'!$D24))</f>
        <v>0</v>
      </c>
      <c r="E20" s="660">
        <f>IF($C20="","",IF('4-3.手当等支給メニュー (３年目or２年目)'!$E24="","",'4-3.手当等支給メニュー (３年目or２年目)'!$E24))</f>
        <v>1000</v>
      </c>
      <c r="F20" s="665">
        <f>IF($C20="","",IF('4-3.手当等支給メニュー (３年目or２年目)'!$F24="","",'4-3.手当等支給メニュー (３年目or２年目)'!$F24))</f>
        <v>9</v>
      </c>
      <c r="G20" s="665">
        <f>IF($C20="","",IF('4-3.手当等支給メニュー (３年目or２年目)'!$G24="","",'4-3.手当等支給メニュー (３年目or２年目)'!$G24))</f>
        <v>30</v>
      </c>
      <c r="H20" s="439">
        <f>IF($C20="","",IF('4-3.手当等支給メニュー (３年目or２年目)'!$I24="","",'4-3.手当等支給メニュー (３年目or２年目)'!$I24))</f>
        <v>130357.14285714286</v>
      </c>
      <c r="I20" s="440">
        <f>IF($C20="","",IF('4-3.手当等支給メニュー (３年目or２年目)'!$J24="","",'4-3.手当等支給メニュー (３年目or２年目)'!$J24))</f>
        <v>132357.14285714284</v>
      </c>
      <c r="J20" s="661">
        <f>IF($C20="","",IF('4-3.手当等支給メニュー (３年目or２年目)'!$K24="","",'4-3.手当等支給メニュー (３年目or２年目)'!$K24))</f>
        <v>1588285.7142857141</v>
      </c>
      <c r="K20" s="666">
        <f>IF($C20="","",IF('4-3.手当等支給メニュー (３年目or２年目)'!$Z24="","",'4-3.手当等支給メニュー (３年目or２年目)'!$Z24))</f>
        <v>239393.31428571427</v>
      </c>
      <c r="L20" s="667">
        <f>IF($C20="","",IF('4-3.手当等支給メニュー (３年目or２年目)'!$AI24="","",'4-3.手当等支給メニュー (３年目or２年目)'!$AI24))</f>
        <v>16200</v>
      </c>
      <c r="M20" s="668">
        <f>IF($C20="","",IF('4-3.手当等支給メニュー (３年目or２年目)'!$AO24="","",'4-3.手当等支給メニュー (３年目or２年目)'!$AO24))</f>
        <v>39800</v>
      </c>
      <c r="N20" s="661">
        <f>IF($C20="","",IF('4-3.手当等支給メニュー (３年目or２年目)'!$AP24="","",'4-3.手当等支給メニュー (３年目or２年目)'!$AP24))</f>
        <v>1292892.3999999999</v>
      </c>
      <c r="O20" s="394">
        <f t="shared" si="0"/>
        <v>44130</v>
      </c>
      <c r="P20" s="643"/>
      <c r="R20" s="432"/>
      <c r="S20" s="40"/>
      <c r="T20" s="40"/>
      <c r="U20" s="40"/>
    </row>
    <row r="21" spans="2:21" ht="24" customHeight="1" x14ac:dyDescent="0.15">
      <c r="B21" s="651">
        <v>11</v>
      </c>
      <c r="C21" s="438">
        <f>IF('4-3.手当等支給メニュー (３年目or２年目)'!$C25="","",'4-3.手当等支給メニュー (３年目or２年目)'!$C25)</f>
        <v>1000</v>
      </c>
      <c r="D21" s="433">
        <f>IF($C21="","",IF('4-3.手当等支給メニュー (３年目or２年目)'!$D25="","",'4-3.手当等支給メニュー (３年目or２年目)'!$D25))</f>
        <v>0</v>
      </c>
      <c r="E21" s="660">
        <f>IF($C21="","",IF('4-3.手当等支給メニュー (３年目or２年目)'!$E25="","",'4-3.手当等支給メニュー (３年目or２年目)'!$E25))</f>
        <v>1000</v>
      </c>
      <c r="F21" s="665">
        <f>IF($C21="","",IF('4-3.手当等支給メニュー (３年目or２年目)'!$F25="","",'4-3.手当等支給メニュー (３年目or２年目)'!$F25))</f>
        <v>10</v>
      </c>
      <c r="G21" s="665">
        <f>IF($C21="","",IF('4-3.手当等支給メニュー (３年目or２年目)'!$G25="","",'4-3.手当等支給メニュー (３年目or２年目)'!$G25))</f>
        <v>31</v>
      </c>
      <c r="H21" s="439">
        <f>IF($C21="","",IF('4-3.手当等支給メニュー (３年目or２年目)'!$I25="","",'4-3.手当等支給メニュー (３年目or２年目)'!$I25))</f>
        <v>134702.38095238095</v>
      </c>
      <c r="I21" s="440">
        <f>IF($C21="","",IF('4-3.手当等支給メニュー (３年目or２年目)'!$J25="","",'4-3.手当等支給メニュー (３年目or２年目)'!$J25))</f>
        <v>136702.38095238095</v>
      </c>
      <c r="J21" s="661">
        <f>IF($C21="","",IF('4-3.手当等支給メニュー (３年目or２年目)'!$K25="","",'4-3.手当等支給メニュー (３年目or２年目)'!$K25))</f>
        <v>1640428.5714285714</v>
      </c>
      <c r="K21" s="666">
        <f>IF($C21="","",IF('4-3.手当等支給メニュー (３年目or２年目)'!$Z25="","",'4-3.手当等支給メニュー (３年目or２年目)'!$Z25))</f>
        <v>253429.37142857144</v>
      </c>
      <c r="L21" s="667">
        <f>IF($C21="","",IF('4-3.手当等支給メニュー (３年目or２年目)'!$AI25="","",'4-3.手当等支給メニュー (３年目or２年目)'!$AI25))</f>
        <v>17800</v>
      </c>
      <c r="M21" s="668">
        <f>IF($C21="","",IF('4-3.手当等支給メニュー (３年目or２年目)'!$AO25="","",'4-3.手当等支給メニュー (３年目or２年目)'!$AO25))</f>
        <v>43000</v>
      </c>
      <c r="N21" s="661">
        <f>IF($C21="","",IF('4-3.手当等支給メニュー (３年目or２年目)'!$AP25="","",'4-3.手当等支給メニュー (３年目or２年目)'!$AP25))</f>
        <v>1326199.2</v>
      </c>
      <c r="O21" s="394">
        <f t="shared" si="0"/>
        <v>33306.800000000047</v>
      </c>
      <c r="P21" s="643"/>
      <c r="R21" s="432"/>
      <c r="S21" s="40"/>
      <c r="T21" s="40"/>
    </row>
    <row r="22" spans="2:21" ht="24" customHeight="1" x14ac:dyDescent="0.15">
      <c r="B22" s="650">
        <v>12</v>
      </c>
      <c r="C22" s="438">
        <f>IF('4-3.手当等支給メニュー (３年目or２年目)'!$C26="","",'4-3.手当等支給メニュー (３年目or２年目)'!$C26)</f>
        <v>1000</v>
      </c>
      <c r="D22" s="433">
        <f>IF($C22="","",IF('4-3.手当等支給メニュー (３年目or２年目)'!$D26="","",'4-3.手当等支給メニュー (３年目or２年目)'!$D26))</f>
        <v>0</v>
      </c>
      <c r="E22" s="660">
        <f>IF($C22="","",IF('4-3.手当等支給メニュー (３年目or２年目)'!$E26="","",'4-3.手当等支給メニュー (３年目or２年目)'!$E26))</f>
        <v>1000</v>
      </c>
      <c r="F22" s="665">
        <f>IF($C22="","",IF('4-3.手当等支給メニュー (３年目or２年目)'!$F26="","",'4-3.手当等支給メニュー (３年目or２年目)'!$F26))</f>
        <v>11</v>
      </c>
      <c r="G22" s="665">
        <f>IF($C22="","",IF('4-3.手当等支給メニュー (３年目or２年目)'!$G26="","",'4-3.手当等支給メニュー (３年目or２年目)'!$G26))</f>
        <v>32</v>
      </c>
      <c r="H22" s="439">
        <f>IF($C22="","",IF('4-3.手当等支給メニュー (３年目or２年目)'!$I26="","",'4-3.手当等支給メニュー (３年目or２年目)'!$I26))</f>
        <v>139047.61904761905</v>
      </c>
      <c r="I22" s="440">
        <f>IF($C22="","",IF('4-3.手当等支給メニュー (３年目or２年目)'!$J26="","",'4-3.手当等支給メニュー (３年目or２年目)'!$J26))</f>
        <v>141047.61904761905</v>
      </c>
      <c r="J22" s="661">
        <f>IF($C22="","",IF('4-3.手当等支給メニュー (３年目or２年目)'!$K26="","",'4-3.手当等支給メニュー (３年目or２年目)'!$K26))</f>
        <v>1692571.4285714286</v>
      </c>
      <c r="K22" s="666">
        <f>IF($C22="","",IF('4-3.手当等支給メニュー (３年目or２年目)'!$Z26="","",'4-3.手当等支給メニュー (３年目or２年目)'!$Z26))</f>
        <v>253742.2285714286</v>
      </c>
      <c r="L22" s="667">
        <f>IF($C22="","",IF('4-3.手当等支給メニュー (３年目or２年目)'!$AI26="","",'4-3.手当等支給メニュー (３年目or２年目)'!$AI26))</f>
        <v>19400</v>
      </c>
      <c r="M22" s="668">
        <f>IF($C22="","",IF('4-3.手当等支給メニュー (３年目or２年目)'!$AO26="","",'4-3.手当等支給メニュー (３年目or２年目)'!$AO26))</f>
        <v>46100</v>
      </c>
      <c r="N22" s="661">
        <f>IF($C22="","",IF('4-3.手当等支給メニュー (３年目or２年目)'!$AP26="","",'4-3.手当等支給メニュー (３年目or２年目)'!$AP26))</f>
        <v>1373329.2</v>
      </c>
      <c r="O22" s="394">
        <f t="shared" si="0"/>
        <v>47130</v>
      </c>
      <c r="P22" s="643"/>
      <c r="S22" s="40"/>
      <c r="T22" s="40"/>
    </row>
    <row r="23" spans="2:21" ht="24" customHeight="1" x14ac:dyDescent="0.15">
      <c r="B23" s="651">
        <v>13</v>
      </c>
      <c r="C23" s="438">
        <f>IF('4-3.手当等支給メニュー (３年目or２年目)'!$C27="","",'4-3.手当等支給メニュー (３年目or２年目)'!$C27)</f>
        <v>1000</v>
      </c>
      <c r="D23" s="433">
        <f>IF($C23="","",IF('4-3.手当等支給メニュー (３年目or２年目)'!$D27="","",'4-3.手当等支給メニュー (３年目or２年目)'!$D27))</f>
        <v>0</v>
      </c>
      <c r="E23" s="660">
        <f>IF($C23="","",IF('4-3.手当等支給メニュー (３年目or２年目)'!$E27="","",'4-3.手当等支給メニュー (３年目or２年目)'!$E27))</f>
        <v>1000</v>
      </c>
      <c r="F23" s="665">
        <f>IF($C23="","",IF('4-3.手当等支給メニュー (３年目or２年目)'!$F27="","",'4-3.手当等支給メニュー (３年目or２年目)'!$F27))</f>
        <v>12</v>
      </c>
      <c r="G23" s="665">
        <f>IF($C23="","",IF('4-3.手当等支給メニュー (３年目or２年目)'!$G27="","",'4-3.手当等支給メニュー (３年目or２年目)'!$G27))</f>
        <v>33</v>
      </c>
      <c r="H23" s="439">
        <f>IF($C23="","",IF('4-3.手当等支給メニュー (３年目or２年目)'!$I27="","",'4-3.手当等支給メニュー (３年目or２年目)'!$I27))</f>
        <v>143392.85714285713</v>
      </c>
      <c r="I23" s="440">
        <f>IF($C23="","",IF('4-3.手当等支給メニュー (３年目or２年目)'!$J27="","",'4-3.手当等支給メニュー (３年目or２年目)'!$J27))</f>
        <v>145392.85714285713</v>
      </c>
      <c r="J23" s="661">
        <f>IF($C23="","",IF('4-3.手当等支給メニュー (３年目or２年目)'!$K27="","",'4-3.手当等支給メニュー (３年目or２年目)'!$K27))</f>
        <v>1744714.2857142854</v>
      </c>
      <c r="K23" s="666">
        <f>IF($C23="","",IF('4-3.手当等支給メニュー (３年目or２年目)'!$Z27="","",'4-3.手当等支給メニュー (３年目or２年目)'!$Z27))</f>
        <v>267778.28571428574</v>
      </c>
      <c r="L23" s="667">
        <f>IF($C23="","",IF('4-3.手当等支給メニュー (３年目or２年目)'!$AI27="","",'4-3.手当等支給メニュー (３年目or２年目)'!$AI27))</f>
        <v>20300</v>
      </c>
      <c r="M23" s="668">
        <f>IF($C23="","",IF('4-3.手当等支給メニュー (３年目or２年目)'!$AO27="","",'4-3.手当等支給メニュー (３年目or２年目)'!$AO27))</f>
        <v>47900</v>
      </c>
      <c r="N23" s="661">
        <f>IF($C23="","",IF('4-3.手当等支給メニュー (３年目or２年目)'!$AP27="","",'4-3.手当等支給メニュー (３年目or２年目)'!$AP27))</f>
        <v>1408735.9999999998</v>
      </c>
      <c r="O23" s="394">
        <f t="shared" si="0"/>
        <v>35406.799999999814</v>
      </c>
      <c r="P23" s="643"/>
      <c r="R23" s="40"/>
      <c r="S23" s="40"/>
      <c r="T23" s="40"/>
    </row>
    <row r="24" spans="2:21" ht="24" customHeight="1" x14ac:dyDescent="0.15">
      <c r="B24" s="651">
        <v>14</v>
      </c>
      <c r="C24" s="438">
        <f>IF('4-3.手当等支給メニュー (３年目or２年目)'!$C28="","",'4-3.手当等支給メニュー (３年目or２年目)'!$C28)</f>
        <v>1000</v>
      </c>
      <c r="D24" s="433">
        <f>IF($C24="","",IF('4-3.手当等支給メニュー (３年目or２年目)'!$D28="","",'4-3.手当等支給メニュー (３年目or２年目)'!$D28))</f>
        <v>0</v>
      </c>
      <c r="E24" s="660">
        <f>IF($C24="","",IF('4-3.手当等支給メニュー (３年目or２年目)'!$E28="","",'4-3.手当等支給メニュー (３年目or２年目)'!$E28))</f>
        <v>1000</v>
      </c>
      <c r="F24" s="665">
        <f>IF($C24="","",IF('4-3.手当等支給メニュー (３年目or２年目)'!$F28="","",'4-3.手当等支給メニュー (３年目or２年目)'!$F28))</f>
        <v>13</v>
      </c>
      <c r="G24" s="665">
        <f>IF($C24="","",IF('4-3.手当等支給メニュー (３年目or２年目)'!$G28="","",'4-3.手当等支給メニュー (３年目or２年目)'!$G28))</f>
        <v>34</v>
      </c>
      <c r="H24" s="439">
        <f>IF($C24="","",IF('4-3.手当等支給メニュー (３年目or２年目)'!$I28="","",'4-3.手当等支給メニュー (３年目or２年目)'!$I28))</f>
        <v>147738.09523809524</v>
      </c>
      <c r="I24" s="440">
        <f>IF($C24="","",IF('4-3.手当等支給メニュー (３年目or２年目)'!$J28="","",'4-3.手当等支給メニュー (３年目or２年目)'!$J28))</f>
        <v>149738.09523809524</v>
      </c>
      <c r="J24" s="661">
        <f>IF($C24="","",IF('4-3.手当等支給メニュー (３年目or２年目)'!$K28="","",'4-3.手当等支給メニュー (３年目or２年目)'!$K28))</f>
        <v>1796857.1428571427</v>
      </c>
      <c r="K24" s="666">
        <f>IF($C24="","",IF('4-3.手当等支給メニュー (３年目or２年目)'!$Z28="","",'4-3.手当等支給メニュー (３年目or２年目)'!$Z28))</f>
        <v>268091.14285714284</v>
      </c>
      <c r="L24" s="667">
        <f>IF($C24="","",IF('4-3.手当等支給メニュー (３年目or２年目)'!$AI28="","",'4-3.手当等支給メニュー (３年目or２年目)'!$AI28))</f>
        <v>21900</v>
      </c>
      <c r="M24" s="668">
        <f>IF($C24="","",IF('4-3.手当等支給メニュー (３年目or２年目)'!$AO28="","",'4-3.手当等支給メニュー (３年目or２年目)'!$AO28))</f>
        <v>51000</v>
      </c>
      <c r="N24" s="661">
        <f>IF($C24="","",IF('4-3.手当等支給メニュー (３年目or２年目)'!$AP28="","",'4-3.手当等支給メニュー (３年目or２年目)'!$AP28))</f>
        <v>1455866</v>
      </c>
      <c r="O24" s="394">
        <f t="shared" si="0"/>
        <v>47130.000000000233</v>
      </c>
      <c r="P24" s="643"/>
      <c r="R24" s="40"/>
    </row>
    <row r="25" spans="2:21" ht="24" customHeight="1" x14ac:dyDescent="0.15">
      <c r="B25" s="651">
        <v>15</v>
      </c>
      <c r="C25" s="438">
        <f>IF('4-3.手当等支給メニュー (３年目or２年目)'!$C29="","",'4-3.手当等支給メニュー (３年目or２年目)'!$C29)</f>
        <v>1000</v>
      </c>
      <c r="D25" s="433">
        <f>IF($C25="","",IF('4-3.手当等支給メニュー (３年目or２年目)'!$D29="","",'4-3.手当等支給メニュー (３年目or２年目)'!$D29))</f>
        <v>0</v>
      </c>
      <c r="E25" s="660">
        <f>IF($C25="","",IF('4-3.手当等支給メニュー (３年目or２年目)'!$E29="","",'4-3.手当等支給メニュー (３年目or２年目)'!$E29))</f>
        <v>1000</v>
      </c>
      <c r="F25" s="665">
        <f>IF($C25="","",IF('4-3.手当等支給メニュー (３年目or２年目)'!$F29="","",'4-3.手当等支給メニュー (３年目or２年目)'!$F29))</f>
        <v>14</v>
      </c>
      <c r="G25" s="665">
        <f>IF($C25="","",IF('4-3.手当等支給メニュー (３年目or２年目)'!$G29="","",'4-3.手当等支給メニュー (３年目or２年目)'!$G29))</f>
        <v>35</v>
      </c>
      <c r="H25" s="439">
        <f>IF($C25="","",IF('4-3.手当等支給メニュー (３年目or２年目)'!$I29="","",'4-3.手当等支給メニュー (３年目or２年目)'!$I29))</f>
        <v>152083.33333333334</v>
      </c>
      <c r="I25" s="440">
        <f>IF($C25="","",IF('4-3.手当等支給メニュー (３年目or２年目)'!$J29="","",'4-3.手当等支給メニュー (３年目or２年目)'!$J29))</f>
        <v>154083.33333333334</v>
      </c>
      <c r="J25" s="661">
        <f>IF($C25="","",IF('4-3.手当等支給メニュー (３年目or２年目)'!$K29="","",'4-3.手当等支給メニュー (３年目or２年目)'!$K29))</f>
        <v>1849000</v>
      </c>
      <c r="K25" s="666">
        <f>IF($C25="","",IF('4-3.手当等支給メニュー (３年目or２年目)'!$Z29="","",'4-3.手当等支給メニュー (３年目or２年目)'!$Z29))</f>
        <v>285558</v>
      </c>
      <c r="L25" s="667">
        <f>IF($C25="","",IF('4-3.手当等支給メニュー (３年目or２年目)'!$AI29="","",'4-3.手当等支給メニュー (３年目or２年目)'!$AI29))</f>
        <v>22800</v>
      </c>
      <c r="M25" s="668">
        <f>IF($C25="","",IF('4-3.手当等支給メニュー (３年目or２年目)'!$AO29="","",'4-3.手当等支給メニュー (３年目or２年目)'!$AO29))</f>
        <v>52800</v>
      </c>
      <c r="N25" s="661">
        <f>IF($C25="","",IF('4-3.手当等支給メニュー (３年目or２年目)'!$AP29="","",'4-3.手当等支給メニュー (３年目or２年目)'!$AP29))</f>
        <v>1487842</v>
      </c>
      <c r="O25" s="394">
        <f t="shared" si="0"/>
        <v>31976</v>
      </c>
      <c r="P25" s="643"/>
      <c r="R25" s="40"/>
    </row>
    <row r="26" spans="2:21" ht="24" customHeight="1" x14ac:dyDescent="0.15">
      <c r="B26" s="650">
        <v>16</v>
      </c>
      <c r="C26" s="438" t="str">
        <f>IF('4-3.手当等支給メニュー (３年目or２年目)'!$C30="","",'4-3.手当等支給メニュー (３年目or２年目)'!$C30)</f>
        <v/>
      </c>
      <c r="D26" s="433" t="str">
        <f>IF($C26="","",IF('4-3.手当等支給メニュー (３年目or２年目)'!$D30="","",'4-3.手当等支給メニュー (３年目or２年目)'!$D30))</f>
        <v/>
      </c>
      <c r="E26" s="660" t="str">
        <f>IF($C26="","",IF('4-3.手当等支給メニュー (３年目or２年目)'!$E30="","",'4-3.手当等支給メニュー (３年目or２年目)'!$E30))</f>
        <v/>
      </c>
      <c r="F26" s="665" t="str">
        <f>IF($C26="","",IF('4-3.手当等支給メニュー (３年目or２年目)'!$F30="","",'4-3.手当等支給メニュー (３年目or２年目)'!$F30))</f>
        <v/>
      </c>
      <c r="G26" s="665" t="str">
        <f>IF($C26="","",IF('4-3.手当等支給メニュー (３年目or２年目)'!$G30="","",'4-3.手当等支給メニュー (３年目or２年目)'!$G30))</f>
        <v/>
      </c>
      <c r="H26" s="439" t="str">
        <f>IF($C26="","",IF('4-3.手当等支給メニュー (３年目or２年目)'!$I30="","",'4-3.手当等支給メニュー (３年目or２年目)'!$I30))</f>
        <v/>
      </c>
      <c r="I26" s="440" t="str">
        <f>IF($C26="","",IF('4-3.手当等支給メニュー (３年目or２年目)'!$J30="","",'4-3.手当等支給メニュー (３年目or２年目)'!$J30))</f>
        <v/>
      </c>
      <c r="J26" s="661" t="str">
        <f>IF($C26="","",IF('4-3.手当等支給メニュー (３年目or２年目)'!$K30="","",'4-3.手当等支給メニュー (３年目or２年目)'!$K30))</f>
        <v/>
      </c>
      <c r="K26" s="666" t="str">
        <f>IF($C26="","",IF('4-3.手当等支給メニュー (３年目or２年目)'!$Z30="","",'4-3.手当等支給メニュー (３年目or２年目)'!$Z30))</f>
        <v/>
      </c>
      <c r="L26" s="667" t="str">
        <f>IF($C26="","",IF('4-3.手当等支給メニュー (３年目or２年目)'!$AI30="","",'4-3.手当等支給メニュー (３年目or２年目)'!$AI30))</f>
        <v/>
      </c>
      <c r="M26" s="668" t="str">
        <f>IF($C26="","",IF('4-3.手当等支給メニュー (３年目or２年目)'!$AO30="","",'4-3.手当等支給メニュー (３年目or２年目)'!$AO30))</f>
        <v/>
      </c>
      <c r="N26" s="661" t="str">
        <f>IF($C26="","",IF('4-3.手当等支給メニュー (３年目or２年目)'!$AP30="","",'4-3.手当等支給メニュー (３年目or２年目)'!$AP30))</f>
        <v/>
      </c>
      <c r="O26" s="394" t="str">
        <f t="shared" si="0"/>
        <v/>
      </c>
      <c r="P26" s="643"/>
      <c r="R26" s="40"/>
    </row>
    <row r="27" spans="2:21" ht="24" customHeight="1" x14ac:dyDescent="0.15">
      <c r="B27" s="651">
        <v>17</v>
      </c>
      <c r="C27" s="438" t="str">
        <f>IF('4-3.手当等支給メニュー (３年目or２年目)'!$C31="","",'4-3.手当等支給メニュー (３年目or２年目)'!$C31)</f>
        <v/>
      </c>
      <c r="D27" s="433" t="str">
        <f>IF($C27="","",IF('4-3.手当等支給メニュー (３年目or２年目)'!$D31="","",'4-3.手当等支給メニュー (３年目or２年目)'!$D31))</f>
        <v/>
      </c>
      <c r="E27" s="660" t="str">
        <f>IF($C27="","",IF('4-3.手当等支給メニュー (３年目or２年目)'!$E31="","",'4-3.手当等支給メニュー (３年目or２年目)'!$E31))</f>
        <v/>
      </c>
      <c r="F27" s="665" t="str">
        <f>IF($C27="","",IF('4-3.手当等支給メニュー (３年目or２年目)'!$F31="","",'4-3.手当等支給メニュー (３年目or２年目)'!$F31))</f>
        <v/>
      </c>
      <c r="G27" s="665" t="str">
        <f>IF($C27="","",IF('4-3.手当等支給メニュー (３年目or２年目)'!$G31="","",'4-3.手当等支給メニュー (３年目or２年目)'!$G31))</f>
        <v/>
      </c>
      <c r="H27" s="439" t="str">
        <f>IF($C27="","",IF('4-3.手当等支給メニュー (３年目or２年目)'!$I31="","",'4-3.手当等支給メニュー (３年目or２年目)'!$I31))</f>
        <v/>
      </c>
      <c r="I27" s="440" t="str">
        <f>IF($C27="","",IF('4-3.手当等支給メニュー (３年目or２年目)'!$J31="","",'4-3.手当等支給メニュー (３年目or２年目)'!$J31))</f>
        <v/>
      </c>
      <c r="J27" s="661" t="str">
        <f>IF($C27="","",IF('4-3.手当等支給メニュー (３年目or２年目)'!$K31="","",'4-3.手当等支給メニュー (３年目or２年目)'!$K31))</f>
        <v/>
      </c>
      <c r="K27" s="666" t="str">
        <f>IF($C27="","",IF('4-3.手当等支給メニュー (３年目or２年目)'!$Z31="","",'4-3.手当等支給メニュー (３年目or２年目)'!$Z31))</f>
        <v/>
      </c>
      <c r="L27" s="667" t="str">
        <f>IF($C27="","",IF('4-3.手当等支給メニュー (３年目or２年目)'!$AI31="","",'4-3.手当等支給メニュー (３年目or２年目)'!$AI31))</f>
        <v/>
      </c>
      <c r="M27" s="668" t="str">
        <f>IF($C27="","",IF('4-3.手当等支給メニュー (３年目or２年目)'!$AO31="","",'4-3.手当等支給メニュー (３年目or２年目)'!$AO31))</f>
        <v/>
      </c>
      <c r="N27" s="661" t="str">
        <f>IF($C27="","",IF('4-3.手当等支給メニュー (３年目or２年目)'!$AP31="","",'4-3.手当等支給メニュー (３年目or２年目)'!$AP31))</f>
        <v/>
      </c>
      <c r="O27" s="394" t="str">
        <f t="shared" si="0"/>
        <v/>
      </c>
      <c r="P27" s="643"/>
      <c r="R27" s="40"/>
    </row>
    <row r="28" spans="2:21" ht="24" customHeight="1" x14ac:dyDescent="0.15">
      <c r="B28" s="651">
        <v>18</v>
      </c>
      <c r="C28" s="438" t="str">
        <f>IF('4-3.手当等支給メニュー (３年目or２年目)'!$C32="","",'4-3.手当等支給メニュー (３年目or２年目)'!$C32)</f>
        <v/>
      </c>
      <c r="D28" s="433" t="str">
        <f>IF($C28="","",IF('4-3.手当等支給メニュー (３年目or２年目)'!$D32="","",'4-3.手当等支給メニュー (３年目or２年目)'!$D32))</f>
        <v/>
      </c>
      <c r="E28" s="660" t="str">
        <f>IF($C28="","",IF('4-3.手当等支給メニュー (３年目or２年目)'!$E32="","",'4-3.手当等支給メニュー (３年目or２年目)'!$E32))</f>
        <v/>
      </c>
      <c r="F28" s="665" t="str">
        <f>IF($C28="","",IF('4-3.手当等支給メニュー (３年目or２年目)'!$F32="","",'4-3.手当等支給メニュー (３年目or２年目)'!$F32))</f>
        <v/>
      </c>
      <c r="G28" s="665" t="str">
        <f>IF($C28="","",IF('4-3.手当等支給メニュー (３年目or２年目)'!$G32="","",'4-3.手当等支給メニュー (３年目or２年目)'!$G32))</f>
        <v/>
      </c>
      <c r="H28" s="439" t="str">
        <f>IF($C28="","",IF('4-3.手当等支給メニュー (３年目or２年目)'!$I32="","",'4-3.手当等支給メニュー (３年目or２年目)'!$I32))</f>
        <v/>
      </c>
      <c r="I28" s="440" t="str">
        <f>IF($C28="","",IF('4-3.手当等支給メニュー (３年目or２年目)'!$J32="","",'4-3.手当等支給メニュー (３年目or２年目)'!$J32))</f>
        <v/>
      </c>
      <c r="J28" s="661" t="str">
        <f>IF($C28="","",IF('4-3.手当等支給メニュー (３年目or２年目)'!$K32="","",'4-3.手当等支給メニュー (３年目or２年目)'!$K32))</f>
        <v/>
      </c>
      <c r="K28" s="666" t="str">
        <f>IF($C28="","",IF('4-3.手当等支給メニュー (３年目or２年目)'!$Z32="","",'4-3.手当等支給メニュー (３年目or２年目)'!$Z32))</f>
        <v/>
      </c>
      <c r="L28" s="667" t="str">
        <f>IF($C28="","",IF('4-3.手当等支給メニュー (３年目or２年目)'!$AI32="","",'4-3.手当等支給メニュー (３年目or２年目)'!$AI32))</f>
        <v/>
      </c>
      <c r="M28" s="668" t="str">
        <f>IF($C28="","",IF('4-3.手当等支給メニュー (３年目or２年目)'!$AO32="","",'4-3.手当等支給メニュー (３年目or２年目)'!$AO32))</f>
        <v/>
      </c>
      <c r="N28" s="661" t="str">
        <f>IF($C28="","",IF('4-3.手当等支給メニュー (３年目or２年目)'!$AP32="","",'4-3.手当等支給メニュー (３年目or２年目)'!$AP32))</f>
        <v/>
      </c>
      <c r="O28" s="394" t="str">
        <f t="shared" si="0"/>
        <v/>
      </c>
      <c r="P28" s="643"/>
      <c r="R28" s="40"/>
    </row>
    <row r="29" spans="2:21" ht="24" customHeight="1" x14ac:dyDescent="0.15">
      <c r="B29" s="651">
        <v>19</v>
      </c>
      <c r="C29" s="438" t="str">
        <f>IF('4-3.手当等支給メニュー (３年目or２年目)'!$C33="","",'4-3.手当等支給メニュー (３年目or２年目)'!$C33)</f>
        <v/>
      </c>
      <c r="D29" s="433" t="str">
        <f>IF($C29="","",IF('4-3.手当等支給メニュー (３年目or２年目)'!$D33="","",'4-3.手当等支給メニュー (３年目or２年目)'!$D33))</f>
        <v/>
      </c>
      <c r="E29" s="660" t="str">
        <f>IF($C29="","",IF('4-3.手当等支給メニュー (３年目or２年目)'!$E33="","",'4-3.手当等支給メニュー (３年目or２年目)'!$E33))</f>
        <v/>
      </c>
      <c r="F29" s="665" t="str">
        <f>IF($C29="","",IF('4-3.手当等支給メニュー (３年目or２年目)'!$F33="","",'4-3.手当等支給メニュー (３年目or２年目)'!$F33))</f>
        <v/>
      </c>
      <c r="G29" s="665" t="str">
        <f>IF($C29="","",IF('4-3.手当等支給メニュー (３年目or２年目)'!$G33="","",'4-3.手当等支給メニュー (３年目or２年目)'!$G33))</f>
        <v/>
      </c>
      <c r="H29" s="439" t="str">
        <f>IF($C29="","",IF('4-3.手当等支給メニュー (３年目or２年目)'!$I33="","",'4-3.手当等支給メニュー (３年目or２年目)'!$I33))</f>
        <v/>
      </c>
      <c r="I29" s="440" t="str">
        <f>IF($C29="","",IF('4-3.手当等支給メニュー (３年目or２年目)'!$J33="","",'4-3.手当等支給メニュー (３年目or２年目)'!$J33))</f>
        <v/>
      </c>
      <c r="J29" s="661" t="str">
        <f>IF($C29="","",IF('4-3.手当等支給メニュー (３年目or２年目)'!$K33="","",'4-3.手当等支給メニュー (３年目or２年目)'!$K33))</f>
        <v/>
      </c>
      <c r="K29" s="666" t="str">
        <f>IF($C29="","",IF('4-3.手当等支給メニュー (３年目or２年目)'!$Z33="","",'4-3.手当等支給メニュー (３年目or２年目)'!$Z33))</f>
        <v/>
      </c>
      <c r="L29" s="667" t="str">
        <f>IF($C29="","",IF('4-3.手当等支給メニュー (３年目or２年目)'!$AI33="","",'4-3.手当等支給メニュー (３年目or２年目)'!$AI33))</f>
        <v/>
      </c>
      <c r="M29" s="668" t="str">
        <f>IF($C29="","",IF('4-3.手当等支給メニュー (３年目or２年目)'!$AO33="","",'4-3.手当等支給メニュー (３年目or２年目)'!$AO33))</f>
        <v/>
      </c>
      <c r="N29" s="661" t="str">
        <f>IF($C29="","",IF('4-3.手当等支給メニュー (３年目or２年目)'!$AP33="","",'4-3.手当等支給メニュー (３年目or２年目)'!$AP33))</f>
        <v/>
      </c>
      <c r="O29" s="394" t="str">
        <f t="shared" si="0"/>
        <v/>
      </c>
      <c r="P29" s="643"/>
      <c r="R29" s="40"/>
    </row>
    <row r="30" spans="2:21" ht="24" customHeight="1" x14ac:dyDescent="0.15">
      <c r="B30" s="650">
        <v>20</v>
      </c>
      <c r="C30" s="438" t="str">
        <f>IF('4-3.手当等支給メニュー (３年目or２年目)'!$C34="","",'4-3.手当等支給メニュー (３年目or２年目)'!$C34)</f>
        <v/>
      </c>
      <c r="D30" s="433" t="str">
        <f>IF($C30="","",IF('4-3.手当等支給メニュー (３年目or２年目)'!$D34="","",'4-3.手当等支給メニュー (３年目or２年目)'!$D34))</f>
        <v/>
      </c>
      <c r="E30" s="660" t="str">
        <f>IF($C30="","",IF('4-3.手当等支給メニュー (３年目or２年目)'!$E34="","",'4-3.手当等支給メニュー (３年目or２年目)'!$E34))</f>
        <v/>
      </c>
      <c r="F30" s="665" t="str">
        <f>IF($C30="","",IF('4-3.手当等支給メニュー (３年目or２年目)'!$F34="","",'4-3.手当等支給メニュー (３年目or２年目)'!$F34))</f>
        <v/>
      </c>
      <c r="G30" s="665" t="str">
        <f>IF($C30="","",IF('4-3.手当等支給メニュー (３年目or２年目)'!$G34="","",'4-3.手当等支給メニュー (３年目or２年目)'!$G34))</f>
        <v/>
      </c>
      <c r="H30" s="439" t="str">
        <f>IF($C30="","",IF('4-3.手当等支給メニュー (３年目or２年目)'!$I34="","",'4-3.手当等支給メニュー (３年目or２年目)'!$I34))</f>
        <v/>
      </c>
      <c r="I30" s="440" t="str">
        <f>IF($C30="","",IF('4-3.手当等支給メニュー (３年目or２年目)'!$J34="","",'4-3.手当等支給メニュー (３年目or２年目)'!$J34))</f>
        <v/>
      </c>
      <c r="J30" s="661" t="str">
        <f>IF($C30="","",IF('4-3.手当等支給メニュー (３年目or２年目)'!$K34="","",'4-3.手当等支給メニュー (３年目or２年目)'!$K34))</f>
        <v/>
      </c>
      <c r="K30" s="666" t="str">
        <f>IF($C30="","",IF('4-3.手当等支給メニュー (３年目or２年目)'!$Z34="","",'4-3.手当等支給メニュー (３年目or２年目)'!$Z34))</f>
        <v/>
      </c>
      <c r="L30" s="667" t="str">
        <f>IF($C30="","",IF('4-3.手当等支給メニュー (３年目or２年目)'!$AI34="","",'4-3.手当等支給メニュー (３年目or２年目)'!$AI34))</f>
        <v/>
      </c>
      <c r="M30" s="668" t="str">
        <f>IF($C30="","",IF('4-3.手当等支給メニュー (３年目or２年目)'!$AO34="","",'4-3.手当等支給メニュー (３年目or２年目)'!$AO34))</f>
        <v/>
      </c>
      <c r="N30" s="661" t="str">
        <f>IF($C30="","",IF('4-3.手当等支給メニュー (３年目or２年目)'!$AP34="","",'4-3.手当等支給メニュー (３年目or２年目)'!$AP34))</f>
        <v/>
      </c>
      <c r="O30" s="394" t="str">
        <f t="shared" si="0"/>
        <v/>
      </c>
      <c r="P30" s="643"/>
      <c r="R30" s="40"/>
    </row>
    <row r="31" spans="2:21" ht="24" customHeight="1" x14ac:dyDescent="0.15">
      <c r="B31" s="651">
        <v>21</v>
      </c>
      <c r="C31" s="438" t="str">
        <f>IF('4-3.手当等支給メニュー (３年目or２年目)'!$C35="","",'4-3.手当等支給メニュー (３年目or２年目)'!$C35)</f>
        <v/>
      </c>
      <c r="D31" s="433" t="str">
        <f>IF($C31="","",IF('4-3.手当等支給メニュー (３年目or２年目)'!$D35="","",'4-3.手当等支給メニュー (３年目or２年目)'!$D35))</f>
        <v/>
      </c>
      <c r="E31" s="660" t="str">
        <f>IF($C31="","",IF('4-3.手当等支給メニュー (３年目or２年目)'!$E35="","",'4-3.手当等支給メニュー (３年目or２年目)'!$E35))</f>
        <v/>
      </c>
      <c r="F31" s="665" t="str">
        <f>IF($C31="","",IF('4-3.手当等支給メニュー (３年目or２年目)'!$F35="","",'4-3.手当等支給メニュー (３年目or２年目)'!$F35))</f>
        <v/>
      </c>
      <c r="G31" s="665" t="str">
        <f>IF($C31="","",IF('4-3.手当等支給メニュー (３年目or２年目)'!$G35="","",'4-3.手当等支給メニュー (３年目or２年目)'!$G35))</f>
        <v/>
      </c>
      <c r="H31" s="439" t="str">
        <f>IF($C31="","",IF('4-3.手当等支給メニュー (３年目or２年目)'!$I35="","",'4-3.手当等支給メニュー (３年目or２年目)'!$I35))</f>
        <v/>
      </c>
      <c r="I31" s="440" t="str">
        <f>IF($C31="","",IF('4-3.手当等支給メニュー (３年目or２年目)'!$J35="","",'4-3.手当等支給メニュー (３年目or２年目)'!$J35))</f>
        <v/>
      </c>
      <c r="J31" s="661" t="str">
        <f>IF($C31="","",IF('4-3.手当等支給メニュー (３年目or２年目)'!$K35="","",'4-3.手当等支給メニュー (３年目or２年目)'!$K35))</f>
        <v/>
      </c>
      <c r="K31" s="666" t="str">
        <f>IF($C31="","",IF('4-3.手当等支給メニュー (３年目or２年目)'!$Z35="","",'4-3.手当等支給メニュー (３年目or２年目)'!$Z35))</f>
        <v/>
      </c>
      <c r="L31" s="667" t="str">
        <f>IF($C31="","",IF('4-3.手当等支給メニュー (３年目or２年目)'!$AI35="","",'4-3.手当等支給メニュー (３年目or２年目)'!$AI35))</f>
        <v/>
      </c>
      <c r="M31" s="668" t="str">
        <f>IF($C31="","",IF('4-3.手当等支給メニュー (３年目or２年目)'!$AO35="","",'4-3.手当等支給メニュー (３年目or２年目)'!$AO35))</f>
        <v/>
      </c>
      <c r="N31" s="661" t="str">
        <f>IF($C31="","",IF('4-3.手当等支給メニュー (３年目or２年目)'!$AP35="","",'4-3.手当等支給メニュー (３年目or２年目)'!$AP35))</f>
        <v/>
      </c>
      <c r="O31" s="394" t="str">
        <f t="shared" si="0"/>
        <v/>
      </c>
      <c r="P31" s="643"/>
      <c r="R31" s="40"/>
    </row>
    <row r="32" spans="2:21" ht="24" customHeight="1" x14ac:dyDescent="0.15">
      <c r="B32" s="651">
        <v>22</v>
      </c>
      <c r="C32" s="438" t="str">
        <f>IF('4-3.手当等支給メニュー (３年目or２年目)'!$C36="","",'4-3.手当等支給メニュー (３年目or２年目)'!$C36)</f>
        <v/>
      </c>
      <c r="D32" s="433" t="str">
        <f>IF($C32="","",IF('4-3.手当等支給メニュー (３年目or２年目)'!$D36="","",'4-3.手当等支給メニュー (３年目or２年目)'!$D36))</f>
        <v/>
      </c>
      <c r="E32" s="660" t="str">
        <f>IF($C32="","",IF('4-3.手当等支給メニュー (３年目or２年目)'!$E36="","",'4-3.手当等支給メニュー (３年目or２年目)'!$E36))</f>
        <v/>
      </c>
      <c r="F32" s="665" t="str">
        <f>IF($C32="","",IF('4-3.手当等支給メニュー (３年目or２年目)'!$F36="","",'4-3.手当等支給メニュー (３年目or２年目)'!$F36))</f>
        <v/>
      </c>
      <c r="G32" s="665" t="str">
        <f>IF($C32="","",IF('4-3.手当等支給メニュー (３年目or２年目)'!$G36="","",'4-3.手当等支給メニュー (３年目or２年目)'!$G36))</f>
        <v/>
      </c>
      <c r="H32" s="439" t="str">
        <f>IF($C32="","",IF('4-3.手当等支給メニュー (３年目or２年目)'!$I36="","",'4-3.手当等支給メニュー (３年目or２年目)'!$I36))</f>
        <v/>
      </c>
      <c r="I32" s="440" t="str">
        <f>IF($C32="","",IF('4-3.手当等支給メニュー (３年目or２年目)'!$J36="","",'4-3.手当等支給メニュー (３年目or２年目)'!$J36))</f>
        <v/>
      </c>
      <c r="J32" s="661" t="str">
        <f>IF($C32="","",IF('4-3.手当等支給メニュー (３年目or２年目)'!$K36="","",'4-3.手当等支給メニュー (３年目or２年目)'!$K36))</f>
        <v/>
      </c>
      <c r="K32" s="666" t="str">
        <f>IF($C32="","",IF('4-3.手当等支給メニュー (３年目or２年目)'!$Z36="","",'4-3.手当等支給メニュー (３年目or２年目)'!$Z36))</f>
        <v/>
      </c>
      <c r="L32" s="667" t="str">
        <f>IF($C32="","",IF('4-3.手当等支給メニュー (３年目or２年目)'!$AI36="","",'4-3.手当等支給メニュー (３年目or２年目)'!$AI36))</f>
        <v/>
      </c>
      <c r="M32" s="668" t="str">
        <f>IF($C32="","",IF('4-3.手当等支給メニュー (３年目or２年目)'!$AO36="","",'4-3.手当等支給メニュー (３年目or２年目)'!$AO36))</f>
        <v/>
      </c>
      <c r="N32" s="661" t="str">
        <f>IF($C32="","",IF('4-3.手当等支給メニュー (３年目or２年目)'!$AP36="","",'4-3.手当等支給メニュー (３年目or２年目)'!$AP36))</f>
        <v/>
      </c>
      <c r="O32" s="394" t="str">
        <f t="shared" si="0"/>
        <v/>
      </c>
      <c r="P32" s="643"/>
      <c r="R32" s="40"/>
    </row>
    <row r="33" spans="2:18" ht="24" customHeight="1" x14ac:dyDescent="0.15">
      <c r="B33" s="651">
        <v>23</v>
      </c>
      <c r="C33" s="438" t="str">
        <f>IF('4-3.手当等支給メニュー (３年目or２年目)'!$C37="","",'4-3.手当等支給メニュー (３年目or２年目)'!$C37)</f>
        <v/>
      </c>
      <c r="D33" s="433" t="str">
        <f>IF($C33="","",IF('4-3.手当等支給メニュー (３年目or２年目)'!$D37="","",'4-3.手当等支給メニュー (３年目or２年目)'!$D37))</f>
        <v/>
      </c>
      <c r="E33" s="660" t="str">
        <f>IF($C33="","",IF('4-3.手当等支給メニュー (３年目or２年目)'!$E37="","",'4-3.手当等支給メニュー (３年目or２年目)'!$E37))</f>
        <v/>
      </c>
      <c r="F33" s="665" t="str">
        <f>IF($C33="","",IF('4-3.手当等支給メニュー (３年目or２年目)'!$F37="","",'4-3.手当等支給メニュー (３年目or２年目)'!$F37))</f>
        <v/>
      </c>
      <c r="G33" s="665" t="str">
        <f>IF($C33="","",IF('4-3.手当等支給メニュー (３年目or２年目)'!$G37="","",'4-3.手当等支給メニュー (３年目or２年目)'!$G37))</f>
        <v/>
      </c>
      <c r="H33" s="439" t="str">
        <f>IF($C33="","",IF('4-3.手当等支給メニュー (３年目or２年目)'!$I37="","",'4-3.手当等支給メニュー (３年目or２年目)'!$I37))</f>
        <v/>
      </c>
      <c r="I33" s="440" t="str">
        <f>IF($C33="","",IF('4-3.手当等支給メニュー (３年目or２年目)'!$J37="","",'4-3.手当等支給メニュー (３年目or２年目)'!$J37))</f>
        <v/>
      </c>
      <c r="J33" s="661" t="str">
        <f>IF($C33="","",IF('4-3.手当等支給メニュー (３年目or２年目)'!$K37="","",'4-3.手当等支給メニュー (３年目or２年目)'!$K37))</f>
        <v/>
      </c>
      <c r="K33" s="666" t="str">
        <f>IF($C33="","",IF('4-3.手当等支給メニュー (３年目or２年目)'!$Z37="","",'4-3.手当等支給メニュー (３年目or２年目)'!$Z37))</f>
        <v/>
      </c>
      <c r="L33" s="667" t="str">
        <f>IF($C33="","",IF('4-3.手当等支給メニュー (３年目or２年目)'!$AI37="","",'4-3.手当等支給メニュー (３年目or２年目)'!$AI37))</f>
        <v/>
      </c>
      <c r="M33" s="668" t="str">
        <f>IF($C33="","",IF('4-3.手当等支給メニュー (３年目or２年目)'!$AO37="","",'4-3.手当等支給メニュー (３年目or２年目)'!$AO37))</f>
        <v/>
      </c>
      <c r="N33" s="661" t="str">
        <f>IF($C33="","",IF('4-3.手当等支給メニュー (３年目or２年目)'!$AP37="","",'4-3.手当等支給メニュー (３年目or２年目)'!$AP37))</f>
        <v/>
      </c>
      <c r="O33" s="394" t="str">
        <f t="shared" si="0"/>
        <v/>
      </c>
      <c r="P33" s="643"/>
      <c r="R33" s="40"/>
    </row>
    <row r="34" spans="2:18" ht="24" customHeight="1" x14ac:dyDescent="0.15">
      <c r="B34" s="650">
        <v>24</v>
      </c>
      <c r="C34" s="438" t="str">
        <f>IF('4-3.手当等支給メニュー (３年目or２年目)'!$C38="","",'4-3.手当等支給メニュー (３年目or２年目)'!$C38)</f>
        <v/>
      </c>
      <c r="D34" s="433" t="str">
        <f>IF($C34="","",IF('4-3.手当等支給メニュー (３年目or２年目)'!$D38="","",'4-3.手当等支給メニュー (３年目or２年目)'!$D38))</f>
        <v/>
      </c>
      <c r="E34" s="660" t="str">
        <f>IF($C34="","",IF('4-3.手当等支給メニュー (３年目or２年目)'!$E38="","",'4-3.手当等支給メニュー (３年目or２年目)'!$E38))</f>
        <v/>
      </c>
      <c r="F34" s="665" t="str">
        <f>IF($C34="","",IF('4-3.手当等支給メニュー (３年目or２年目)'!$F38="","",'4-3.手当等支給メニュー (３年目or２年目)'!$F38))</f>
        <v/>
      </c>
      <c r="G34" s="665" t="str">
        <f>IF($C34="","",IF('4-3.手当等支給メニュー (３年目or２年目)'!$G38="","",'4-3.手当等支給メニュー (３年目or２年目)'!$G38))</f>
        <v/>
      </c>
      <c r="H34" s="439" t="str">
        <f>IF($C34="","",IF('4-3.手当等支給メニュー (３年目or２年目)'!$I38="","",'4-3.手当等支給メニュー (３年目or２年目)'!$I38))</f>
        <v/>
      </c>
      <c r="I34" s="440" t="str">
        <f>IF($C34="","",IF('4-3.手当等支給メニュー (３年目or２年目)'!$J38="","",'4-3.手当等支給メニュー (３年目or２年目)'!$J38))</f>
        <v/>
      </c>
      <c r="J34" s="661" t="str">
        <f>IF($C34="","",IF('4-3.手当等支給メニュー (３年目or２年目)'!$K38="","",'4-3.手当等支給メニュー (３年目or２年目)'!$K38))</f>
        <v/>
      </c>
      <c r="K34" s="666" t="str">
        <f>IF($C34="","",IF('4-3.手当等支給メニュー (３年目or２年目)'!$Z38="","",'4-3.手当等支給メニュー (３年目or２年目)'!$Z38))</f>
        <v/>
      </c>
      <c r="L34" s="667" t="str">
        <f>IF($C34="","",IF('4-3.手当等支給メニュー (３年目or２年目)'!$AI38="","",'4-3.手当等支給メニュー (３年目or２年目)'!$AI38))</f>
        <v/>
      </c>
      <c r="M34" s="668" t="str">
        <f>IF($C34="","",IF('4-3.手当等支給メニュー (３年目or２年目)'!$AO38="","",'4-3.手当等支給メニュー (３年目or２年目)'!$AO38))</f>
        <v/>
      </c>
      <c r="N34" s="661" t="str">
        <f>IF($C34="","",IF('4-3.手当等支給メニュー (３年目or２年目)'!$AP38="","",'4-3.手当等支給メニュー (３年目or２年目)'!$AP38))</f>
        <v/>
      </c>
      <c r="O34" s="394" t="str">
        <f t="shared" si="0"/>
        <v/>
      </c>
      <c r="P34" s="643"/>
      <c r="R34" s="40"/>
    </row>
    <row r="35" spans="2:18" ht="24" customHeight="1" x14ac:dyDescent="0.15">
      <c r="B35" s="651">
        <v>25</v>
      </c>
      <c r="C35" s="438" t="str">
        <f>IF('4-3.手当等支給メニュー (３年目or２年目)'!$C39="","",'4-3.手当等支給メニュー (３年目or２年目)'!$C39)</f>
        <v/>
      </c>
      <c r="D35" s="433" t="str">
        <f>IF($C35="","",IF('4-3.手当等支給メニュー (３年目or２年目)'!$D39="","",'4-3.手当等支給メニュー (３年目or２年目)'!$D39))</f>
        <v/>
      </c>
      <c r="E35" s="660" t="str">
        <f>IF($C35="","",IF('4-3.手当等支給メニュー (３年目or２年目)'!$E39="","",'4-3.手当等支給メニュー (３年目or２年目)'!$E39))</f>
        <v/>
      </c>
      <c r="F35" s="665" t="str">
        <f>IF($C35="","",IF('4-3.手当等支給メニュー (３年目or２年目)'!$F39="","",'4-3.手当等支給メニュー (３年目or２年目)'!$F39))</f>
        <v/>
      </c>
      <c r="G35" s="665" t="str">
        <f>IF($C35="","",IF('4-3.手当等支給メニュー (３年目or２年目)'!$G39="","",'4-3.手当等支給メニュー (３年目or２年目)'!$G39))</f>
        <v/>
      </c>
      <c r="H35" s="439" t="str">
        <f>IF($C35="","",IF('4-3.手当等支給メニュー (３年目or２年目)'!$I39="","",'4-3.手当等支給メニュー (３年目or２年目)'!$I39))</f>
        <v/>
      </c>
      <c r="I35" s="440" t="str">
        <f>IF($C35="","",IF('4-3.手当等支給メニュー (３年目or２年目)'!$J39="","",'4-3.手当等支給メニュー (３年目or２年目)'!$J39))</f>
        <v/>
      </c>
      <c r="J35" s="661" t="str">
        <f>IF($C35="","",IF('4-3.手当等支給メニュー (３年目or２年目)'!$K39="","",'4-3.手当等支給メニュー (３年目or２年目)'!$K39))</f>
        <v/>
      </c>
      <c r="K35" s="666" t="str">
        <f>IF($C35="","",IF('4-3.手当等支給メニュー (３年目or２年目)'!$Z39="","",'4-3.手当等支給メニュー (３年目or２年目)'!$Z39))</f>
        <v/>
      </c>
      <c r="L35" s="667" t="str">
        <f>IF($C35="","",IF('4-3.手当等支給メニュー (３年目or２年目)'!$AI39="","",'4-3.手当等支給メニュー (３年目or２年目)'!$AI39))</f>
        <v/>
      </c>
      <c r="M35" s="668" t="str">
        <f>IF($C35="","",IF('4-3.手当等支給メニュー (３年目or２年目)'!$AO39="","",'4-3.手当等支給メニュー (３年目or２年目)'!$AO39))</f>
        <v/>
      </c>
      <c r="N35" s="661" t="str">
        <f>IF($C35="","",IF('4-3.手当等支給メニュー (３年目or２年目)'!$AP39="","",'4-3.手当等支給メニュー (３年目or２年目)'!$AP39))</f>
        <v/>
      </c>
      <c r="O35" s="394" t="str">
        <f t="shared" si="0"/>
        <v/>
      </c>
      <c r="P35" s="643"/>
      <c r="R35" s="40"/>
    </row>
    <row r="36" spans="2:18" ht="24" customHeight="1" x14ac:dyDescent="0.15">
      <c r="B36" s="651">
        <v>26</v>
      </c>
      <c r="C36" s="438" t="str">
        <f>IF('4-3.手当等支給メニュー (３年目or２年目)'!$C40="","",'4-3.手当等支給メニュー (３年目or２年目)'!$C40)</f>
        <v/>
      </c>
      <c r="D36" s="433" t="str">
        <f>IF($C36="","",IF('4-3.手当等支給メニュー (３年目or２年目)'!$D40="","",'4-3.手当等支給メニュー (３年目or２年目)'!$D40))</f>
        <v/>
      </c>
      <c r="E36" s="660" t="str">
        <f>IF($C36="","",IF('4-3.手当等支給メニュー (３年目or２年目)'!$E40="","",'4-3.手当等支給メニュー (３年目or２年目)'!$E40))</f>
        <v/>
      </c>
      <c r="F36" s="665" t="str">
        <f>IF($C36="","",IF('4-3.手当等支給メニュー (３年目or２年目)'!$F40="","",'4-3.手当等支給メニュー (３年目or２年目)'!$F40))</f>
        <v/>
      </c>
      <c r="G36" s="665" t="str">
        <f>IF($C36="","",IF('4-3.手当等支給メニュー (３年目or２年目)'!$G40="","",'4-3.手当等支給メニュー (３年目or２年目)'!$G40))</f>
        <v/>
      </c>
      <c r="H36" s="439" t="str">
        <f>IF($C36="","",IF('4-3.手当等支給メニュー (３年目or２年目)'!$I40="","",'4-3.手当等支給メニュー (３年目or２年目)'!$I40))</f>
        <v/>
      </c>
      <c r="I36" s="440" t="str">
        <f>IF($C36="","",IF('4-3.手当等支給メニュー (３年目or２年目)'!$J40="","",'4-3.手当等支給メニュー (３年目or２年目)'!$J40))</f>
        <v/>
      </c>
      <c r="J36" s="661" t="str">
        <f>IF($C36="","",IF('4-3.手当等支給メニュー (３年目or２年目)'!$K40="","",'4-3.手当等支給メニュー (３年目or２年目)'!$K40))</f>
        <v/>
      </c>
      <c r="K36" s="666" t="str">
        <f>IF($C36="","",IF('4-3.手当等支給メニュー (３年目or２年目)'!$Z40="","",'4-3.手当等支給メニュー (３年目or２年目)'!$Z40))</f>
        <v/>
      </c>
      <c r="L36" s="667" t="str">
        <f>IF($C36="","",IF('4-3.手当等支給メニュー (３年目or２年目)'!$AI40="","",'4-3.手当等支給メニュー (３年目or２年目)'!$AI40))</f>
        <v/>
      </c>
      <c r="M36" s="668" t="str">
        <f>IF($C36="","",IF('4-3.手当等支給メニュー (３年目or２年目)'!$AO40="","",'4-3.手当等支給メニュー (３年目or２年目)'!$AO40))</f>
        <v/>
      </c>
      <c r="N36" s="661" t="str">
        <f>IF($C36="","",IF('4-3.手当等支給メニュー (３年目or２年目)'!$AP40="","",'4-3.手当等支給メニュー (３年目or２年目)'!$AP40))</f>
        <v/>
      </c>
      <c r="O36" s="394" t="str">
        <f t="shared" si="0"/>
        <v/>
      </c>
      <c r="P36" s="643"/>
      <c r="R36" s="40"/>
    </row>
    <row r="37" spans="2:18" ht="24" customHeight="1" x14ac:dyDescent="0.15">
      <c r="B37" s="651">
        <v>27</v>
      </c>
      <c r="C37" s="438" t="str">
        <f>IF('4-3.手当等支給メニュー (３年目or２年目)'!$C41="","",'4-3.手当等支給メニュー (３年目or２年目)'!$C41)</f>
        <v/>
      </c>
      <c r="D37" s="433" t="str">
        <f>IF($C37="","",IF('4-3.手当等支給メニュー (３年目or２年目)'!$D41="","",'4-3.手当等支給メニュー (３年目or２年目)'!$D41))</f>
        <v/>
      </c>
      <c r="E37" s="660" t="str">
        <f>IF($C37="","",IF('4-3.手当等支給メニュー (３年目or２年目)'!$E41="","",'4-3.手当等支給メニュー (３年目or２年目)'!$E41))</f>
        <v/>
      </c>
      <c r="F37" s="665" t="str">
        <f>IF($C37="","",IF('4-3.手当等支給メニュー (３年目or２年目)'!$F41="","",'4-3.手当等支給メニュー (３年目or２年目)'!$F41))</f>
        <v/>
      </c>
      <c r="G37" s="665" t="str">
        <f>IF($C37="","",IF('4-3.手当等支給メニュー (３年目or２年目)'!$G41="","",'4-3.手当等支給メニュー (３年目or２年目)'!$G41))</f>
        <v/>
      </c>
      <c r="H37" s="439" t="str">
        <f>IF($C37="","",IF('4-3.手当等支給メニュー (３年目or２年目)'!$I41="","",'4-3.手当等支給メニュー (３年目or２年目)'!$I41))</f>
        <v/>
      </c>
      <c r="I37" s="440" t="str">
        <f>IF($C37="","",IF('4-3.手当等支給メニュー (３年目or２年目)'!$J41="","",'4-3.手当等支給メニュー (３年目or２年目)'!$J41))</f>
        <v/>
      </c>
      <c r="J37" s="661" t="str">
        <f>IF($C37="","",IF('4-3.手当等支給メニュー (３年目or２年目)'!$K41="","",'4-3.手当等支給メニュー (３年目or２年目)'!$K41))</f>
        <v/>
      </c>
      <c r="K37" s="666" t="str">
        <f>IF($C37="","",IF('4-3.手当等支給メニュー (３年目or２年目)'!$Z41="","",'4-3.手当等支給メニュー (３年目or２年目)'!$Z41))</f>
        <v/>
      </c>
      <c r="L37" s="667" t="str">
        <f>IF($C37="","",IF('4-3.手当等支給メニュー (３年目or２年目)'!$AI41="","",'4-3.手当等支給メニュー (３年目or２年目)'!$AI41))</f>
        <v/>
      </c>
      <c r="M37" s="668" t="str">
        <f>IF($C37="","",IF('4-3.手当等支給メニュー (３年目or２年目)'!$AO41="","",'4-3.手当等支給メニュー (３年目or２年目)'!$AO41))</f>
        <v/>
      </c>
      <c r="N37" s="661" t="str">
        <f>IF($C37="","",IF('4-3.手当等支給メニュー (３年目or２年目)'!$AP41="","",'4-3.手当等支給メニュー (３年目or２年目)'!$AP41))</f>
        <v/>
      </c>
      <c r="O37" s="394" t="str">
        <f t="shared" si="0"/>
        <v/>
      </c>
      <c r="P37" s="643"/>
      <c r="R37" s="40"/>
    </row>
    <row r="38" spans="2:18" ht="24" customHeight="1" x14ac:dyDescent="0.15">
      <c r="B38" s="650">
        <v>28</v>
      </c>
      <c r="C38" s="438" t="str">
        <f>IF('4-3.手当等支給メニュー (３年目or２年目)'!$C42="","",'4-3.手当等支給メニュー (３年目or２年目)'!$C42)</f>
        <v/>
      </c>
      <c r="D38" s="433" t="str">
        <f>IF($C38="","",IF('4-3.手当等支給メニュー (３年目or２年目)'!$D42="","",'4-3.手当等支給メニュー (３年目or２年目)'!$D42))</f>
        <v/>
      </c>
      <c r="E38" s="660" t="str">
        <f>IF($C38="","",IF('4-3.手当等支給メニュー (３年目or２年目)'!$E42="","",'4-3.手当等支給メニュー (３年目or２年目)'!$E42))</f>
        <v/>
      </c>
      <c r="F38" s="665" t="str">
        <f>IF($C38="","",IF('4-3.手当等支給メニュー (３年目or２年目)'!$F42="","",'4-3.手当等支給メニュー (３年目or２年目)'!$F42))</f>
        <v/>
      </c>
      <c r="G38" s="665" t="str">
        <f>IF($C38="","",IF('4-3.手当等支給メニュー (３年目or２年目)'!$G42="","",'4-3.手当等支給メニュー (３年目or２年目)'!$G42))</f>
        <v/>
      </c>
      <c r="H38" s="439" t="str">
        <f>IF($C38="","",IF('4-3.手当等支給メニュー (３年目or２年目)'!$I42="","",'4-3.手当等支給メニュー (３年目or２年目)'!$I42))</f>
        <v/>
      </c>
      <c r="I38" s="440" t="str">
        <f>IF($C38="","",IF('4-3.手当等支給メニュー (３年目or２年目)'!$J42="","",'4-3.手当等支給メニュー (３年目or２年目)'!$J42))</f>
        <v/>
      </c>
      <c r="J38" s="661" t="str">
        <f>IF($C38="","",IF('4-3.手当等支給メニュー (３年目or２年目)'!$K42="","",'4-3.手当等支給メニュー (３年目or２年目)'!$K42))</f>
        <v/>
      </c>
      <c r="K38" s="666" t="str">
        <f>IF($C38="","",IF('4-3.手当等支給メニュー (３年目or２年目)'!$Z42="","",'4-3.手当等支給メニュー (３年目or２年目)'!$Z42))</f>
        <v/>
      </c>
      <c r="L38" s="667" t="str">
        <f>IF($C38="","",IF('4-3.手当等支給メニュー (３年目or２年目)'!$AI42="","",'4-3.手当等支給メニュー (３年目or２年目)'!$AI42))</f>
        <v/>
      </c>
      <c r="M38" s="668" t="str">
        <f>IF($C38="","",IF('4-3.手当等支給メニュー (３年目or２年目)'!$AO42="","",'4-3.手当等支給メニュー (３年目or２年目)'!$AO42))</f>
        <v/>
      </c>
      <c r="N38" s="661" t="str">
        <f>IF($C38="","",IF('4-3.手当等支給メニュー (３年目or２年目)'!$AP42="","",'4-3.手当等支給メニュー (３年目or２年目)'!$AP42))</f>
        <v/>
      </c>
      <c r="O38" s="394" t="str">
        <f t="shared" si="0"/>
        <v/>
      </c>
      <c r="P38" s="643"/>
      <c r="R38" s="40"/>
    </row>
    <row r="39" spans="2:18" ht="24" customHeight="1" x14ac:dyDescent="0.15">
      <c r="B39" s="651">
        <v>29</v>
      </c>
      <c r="C39" s="438" t="str">
        <f>IF('4-3.手当等支給メニュー (３年目or２年目)'!$C43="","",'4-3.手当等支給メニュー (３年目or２年目)'!$C43)</f>
        <v/>
      </c>
      <c r="D39" s="433" t="str">
        <f>IF($C39="","",IF('4-3.手当等支給メニュー (３年目or２年目)'!$D43="","",'4-3.手当等支給メニュー (３年目or２年目)'!$D43))</f>
        <v/>
      </c>
      <c r="E39" s="660" t="str">
        <f>IF($C39="","",IF('4-3.手当等支給メニュー (３年目or２年目)'!$E43="","",'4-3.手当等支給メニュー (３年目or２年目)'!$E43))</f>
        <v/>
      </c>
      <c r="F39" s="665" t="str">
        <f>IF($C39="","",IF('4-3.手当等支給メニュー (３年目or２年目)'!$F43="","",'4-3.手当等支給メニュー (３年目or２年目)'!$F43))</f>
        <v/>
      </c>
      <c r="G39" s="665" t="str">
        <f>IF($C39="","",IF('4-3.手当等支給メニュー (３年目or２年目)'!$G43="","",'4-3.手当等支給メニュー (３年目or２年目)'!$G43))</f>
        <v/>
      </c>
      <c r="H39" s="439" t="str">
        <f>IF($C39="","",IF('4-3.手当等支給メニュー (３年目or２年目)'!$I43="","",'4-3.手当等支給メニュー (３年目or２年目)'!$I43))</f>
        <v/>
      </c>
      <c r="I39" s="440" t="str">
        <f>IF($C39="","",IF('4-3.手当等支給メニュー (３年目or２年目)'!$J43="","",'4-3.手当等支給メニュー (３年目or２年目)'!$J43))</f>
        <v/>
      </c>
      <c r="J39" s="661" t="str">
        <f>IF($C39="","",IF('4-3.手当等支給メニュー (３年目or２年目)'!$K43="","",'4-3.手当等支給メニュー (３年目or２年目)'!$K43))</f>
        <v/>
      </c>
      <c r="K39" s="666" t="str">
        <f>IF($C39="","",IF('4-3.手当等支給メニュー (３年目or２年目)'!$Z43="","",'4-3.手当等支給メニュー (３年目or２年目)'!$Z43))</f>
        <v/>
      </c>
      <c r="L39" s="667" t="str">
        <f>IF($C39="","",IF('4-3.手当等支給メニュー (３年目or２年目)'!$AI43="","",'4-3.手当等支給メニュー (３年目or２年目)'!$AI43))</f>
        <v/>
      </c>
      <c r="M39" s="668" t="str">
        <f>IF($C39="","",IF('4-3.手当等支給メニュー (３年目or２年目)'!$AO43="","",'4-3.手当等支給メニュー (３年目or２年目)'!$AO43))</f>
        <v/>
      </c>
      <c r="N39" s="661" t="str">
        <f>IF($C39="","",IF('4-3.手当等支給メニュー (３年目or２年目)'!$AP43="","",'4-3.手当等支給メニュー (３年目or２年目)'!$AP43))</f>
        <v/>
      </c>
      <c r="O39" s="394" t="str">
        <f t="shared" si="0"/>
        <v/>
      </c>
      <c r="P39" s="643"/>
      <c r="R39" s="40"/>
    </row>
    <row r="40" spans="2:18" ht="24" customHeight="1" thickBot="1" x14ac:dyDescent="0.2">
      <c r="B40" s="651">
        <v>30</v>
      </c>
      <c r="C40" s="435" t="str">
        <f>IF('4-3.手当等支給メニュー (３年目or２年目)'!$C44="","",'4-3.手当等支給メニュー (３年目or２年目)'!$C44)</f>
        <v/>
      </c>
      <c r="D40" s="433" t="str">
        <f>IF($C40="","",IF('4-3.手当等支給メニュー (３年目or２年目)'!$D44="","",'4-3.手当等支給メニュー (３年目or２年目)'!$D44))</f>
        <v/>
      </c>
      <c r="E40" s="660" t="str">
        <f>IF($C40="","",IF('4-3.手当等支給メニュー (３年目or２年目)'!$E44="","",'4-3.手当等支給メニュー (３年目or２年目)'!$E44))</f>
        <v/>
      </c>
      <c r="F40" s="665" t="str">
        <f>IF($C40="","",IF('4-3.手当等支給メニュー (３年目or２年目)'!$F44="","",'4-3.手当等支給メニュー (３年目or２年目)'!$F44))</f>
        <v/>
      </c>
      <c r="G40" s="665" t="str">
        <f>IF($C40="","",IF('4-3.手当等支給メニュー (３年目or２年目)'!$G44="","",'4-3.手当等支給メニュー (３年目or２年目)'!$G44))</f>
        <v/>
      </c>
      <c r="H40" s="439" t="str">
        <f>IF($C40="","",IF('4-3.手当等支給メニュー (３年目or２年目)'!$I44="","",'4-3.手当等支給メニュー (３年目or２年目)'!$I44))</f>
        <v/>
      </c>
      <c r="I40" s="441" t="str">
        <f>IF($C40="","",IF('4-3.手当等支給メニュー (３年目or２年目)'!$J44="","",'4-3.手当等支給メニュー (３年目or２年目)'!$J44))</f>
        <v/>
      </c>
      <c r="J40" s="661" t="str">
        <f>IF($C40="","",IF('4-3.手当等支給メニュー (３年目or２年目)'!$K44="","",'4-3.手当等支給メニュー (３年目or２年目)'!$K44))</f>
        <v/>
      </c>
      <c r="K40" s="669" t="str">
        <f>IF($C40="","",IF('4-3.手当等支給メニュー (３年目or２年目)'!$Z44="","",'4-3.手当等支給メニュー (３年目or２年目)'!$Z44))</f>
        <v/>
      </c>
      <c r="L40" s="667" t="str">
        <f>IF($C40="","",IF('4-3.手当等支給メニュー (３年目or２年目)'!$AI44="","",'4-3.手当等支給メニュー (３年目or２年目)'!$AI44))</f>
        <v/>
      </c>
      <c r="M40" s="670" t="str">
        <f>IF($C40="","",IF('4-3.手当等支給メニュー (３年目or２年目)'!$AO44="","",'4-3.手当等支給メニュー (３年目or２年目)'!$AO44))</f>
        <v/>
      </c>
      <c r="N40" s="661" t="str">
        <f>IF($C40="","",IF('4-3.手当等支給メニュー (３年目or２年目)'!$AP44="","",'4-3.手当等支給メニュー (３年目or２年目)'!$AP44))</f>
        <v/>
      </c>
      <c r="O40" s="394" t="str">
        <f t="shared" si="0"/>
        <v/>
      </c>
      <c r="P40" s="643"/>
      <c r="R40" s="40"/>
    </row>
    <row r="41" spans="2:18" x14ac:dyDescent="0.15">
      <c r="R41" s="40"/>
    </row>
    <row r="42" spans="2:18" x14ac:dyDescent="0.15">
      <c r="R42" s="40"/>
    </row>
    <row r="43" spans="2:18" x14ac:dyDescent="0.15">
      <c r="R43" s="40"/>
    </row>
    <row r="44" spans="2:18" x14ac:dyDescent="0.15">
      <c r="R44" s="40"/>
    </row>
    <row r="45" spans="2:18" x14ac:dyDescent="0.15">
      <c r="R45" s="40"/>
    </row>
    <row r="46" spans="2:18" x14ac:dyDescent="0.15">
      <c r="R46" s="40"/>
    </row>
  </sheetData>
  <sheetProtection algorithmName="SHA-512" hashValue="WN2EKGZppnx7U8rL+JrO15eesMPoqFCuGxQSHUAo8JlmW7xmJMsNQQcy/BAAax9whCAp4SxLHx3ZJvN7rKD5CQ==" saltValue="fRDeDTyo8vJYZi0UxcDByw==" spinCount="100000" sheet="1" objects="1" scenarios="1"/>
  <mergeCells count="5">
    <mergeCell ref="F5:H5"/>
    <mergeCell ref="L5:P7"/>
    <mergeCell ref="F6:G6"/>
    <mergeCell ref="F7:G7"/>
    <mergeCell ref="R9:S9"/>
  </mergeCells>
  <phoneticPr fontId="3"/>
  <conditionalFormatting sqref="J11:J40">
    <cfRule type="expression" dxfId="18" priority="101">
      <formula>J11&gt;=$R$15</formula>
    </cfRule>
    <cfRule type="expression" dxfId="17" priority="102">
      <formula>J11&gt;=$R$14</formula>
    </cfRule>
    <cfRule type="expression" dxfId="16" priority="103">
      <formula>J11&gt;$R$13</formula>
    </cfRule>
    <cfRule type="expression" dxfId="15" priority="104">
      <formula>J11&gt;$R$12</formula>
    </cfRule>
    <cfRule type="expression" dxfId="14" priority="105">
      <formula>J11&lt;=$R$11</formula>
    </cfRule>
    <cfRule type="expression" priority="106">
      <formula>$N11&lt;=$R$11</formula>
    </cfRule>
  </conditionalFormatting>
  <conditionalFormatting sqref="P11:P40">
    <cfRule type="expression" dxfId="13" priority="1">
      <formula>$C11=""</formula>
    </cfRule>
    <cfRule type="expression" dxfId="12" priority="2">
      <formula>AND($G11&gt;=20,$J11&gt;=88000)</formula>
    </cfRule>
  </conditionalFormatting>
  <pageMargins left="0.59055118110236227" right="0.59055118110236227" top="0.78740157480314965" bottom="0.59055118110236227" header="0.51181102362204722" footer="0.51181102362204722"/>
  <pageSetup paperSize="9" scale="95" pageOrder="overThenDown" orientation="landscape" r:id="rId1"/>
  <headerFooter alignWithMargins="0">
    <oddFooter>&amp;C&amp;P</oddFooter>
  </headerFooter>
  <rowBreaks count="1" manualBreakCount="1">
    <brk id="26" min="1" max="15" man="1"/>
  </rowBreaks>
  <colBreaks count="2" manualBreakCount="2">
    <brk id="11" min="2" max="24" man="1"/>
    <brk id="16" min="3" max="38"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BD0FA-7DE0-4A14-92F2-0EE1AD37876E}">
  <sheetPr>
    <tabColor theme="0" tint="-0.34998626667073579"/>
    <pageSetUpPr autoPageBreaks="0"/>
  </sheetPr>
  <dimension ref="B1:W44"/>
  <sheetViews>
    <sheetView showGridLines="0" zoomScale="110" zoomScaleNormal="110" zoomScaleSheetLayoutView="80" workbookViewId="0">
      <selection activeCell="H9" sqref="H9"/>
    </sheetView>
  </sheetViews>
  <sheetFormatPr defaultRowHeight="14.25" x14ac:dyDescent="0.15"/>
  <cols>
    <col min="1" max="1" width="2.625" style="541" customWidth="1"/>
    <col min="2" max="2" width="6" style="541" customWidth="1"/>
    <col min="3" max="3" width="17.625" style="541" customWidth="1"/>
    <col min="4" max="4" width="9.375" style="541" hidden="1" customWidth="1"/>
    <col min="5" max="5" width="17.625" style="541" customWidth="1"/>
    <col min="6" max="6" width="11.875" style="541" customWidth="1"/>
    <col min="7" max="7" width="17.625" style="541" customWidth="1"/>
    <col min="8" max="8" width="9.625" style="541" customWidth="1"/>
    <col min="9" max="9" width="11.625" style="541" customWidth="1"/>
    <col min="10" max="10" width="14.625" style="541" customWidth="1"/>
    <col min="11" max="12" width="11.625" style="541" customWidth="1"/>
    <col min="13" max="13" width="14.75" style="541" customWidth="1"/>
    <col min="14" max="14" width="12.375" style="541" customWidth="1"/>
    <col min="15" max="20" width="14.625" style="541" customWidth="1"/>
    <col min="21" max="21" width="14" style="541" customWidth="1"/>
    <col min="22" max="22" width="14.75" style="541" customWidth="1"/>
    <col min="23" max="23" width="12" style="541" customWidth="1"/>
    <col min="24" max="16384" width="9" style="541"/>
  </cols>
  <sheetData>
    <row r="1" spans="2:23" s="540" customFormat="1" ht="12" thickBot="1" x14ac:dyDescent="0.2">
      <c r="C1" s="540">
        <v>1</v>
      </c>
      <c r="D1" s="540">
        <v>2</v>
      </c>
      <c r="E1" s="540">
        <v>3</v>
      </c>
      <c r="F1" s="540">
        <v>4</v>
      </c>
      <c r="G1" s="540">
        <v>5</v>
      </c>
      <c r="H1" s="540">
        <v>6</v>
      </c>
      <c r="I1" s="540">
        <v>7</v>
      </c>
      <c r="J1" s="540">
        <v>8</v>
      </c>
      <c r="K1" s="540">
        <v>9</v>
      </c>
      <c r="L1" s="540">
        <v>10</v>
      </c>
      <c r="M1" s="540">
        <v>11</v>
      </c>
      <c r="N1" s="540">
        <v>12</v>
      </c>
      <c r="O1" s="540">
        <v>13</v>
      </c>
      <c r="P1" s="540">
        <v>14</v>
      </c>
      <c r="Q1" s="540">
        <v>15</v>
      </c>
      <c r="R1" s="540">
        <v>16</v>
      </c>
      <c r="S1" s="540">
        <v>17</v>
      </c>
      <c r="T1" s="540">
        <v>18</v>
      </c>
      <c r="U1" s="540">
        <v>19</v>
      </c>
      <c r="V1" s="540">
        <v>20</v>
      </c>
      <c r="W1" s="540">
        <v>21</v>
      </c>
    </row>
    <row r="2" spans="2:23" ht="38.25" customHeight="1" thickBot="1" x14ac:dyDescent="0.25">
      <c r="C2" s="542"/>
      <c r="D2" s="543"/>
      <c r="E2" s="544"/>
      <c r="M2" s="545">
        <f>IF('1-1.従業員データ給与改定案入力画面'!$N$2="","",IF(OR('1-1.従業員データ給与改定案入力画面'!$N$2=2,'1-1.従業員データ給与改定案入力画面'!$N$2=1),"",'1-1.従業員データ給与改定案入力画面'!$N$2))</f>
        <v>3</v>
      </c>
      <c r="N2" s="546"/>
    </row>
    <row r="3" spans="2:23" ht="19.5" customHeight="1" x14ac:dyDescent="0.15">
      <c r="E3" s="547"/>
      <c r="F3" s="547"/>
      <c r="G3" s="547"/>
      <c r="J3" s="546"/>
      <c r="K3" s="546"/>
      <c r="L3" s="546"/>
      <c r="O3" s="548"/>
    </row>
    <row r="4" spans="2:23" ht="24.95" customHeight="1" x14ac:dyDescent="0.15">
      <c r="C4" s="549" t="s">
        <v>79</v>
      </c>
      <c r="E4" s="718">
        <f>IF('4-1.手当等支給メニュー'!$E$4="","",'4-1.手当等支給メニュー'!$E$4)</f>
        <v>103</v>
      </c>
      <c r="F4" s="719"/>
      <c r="G4" s="719"/>
      <c r="I4" s="550"/>
      <c r="J4" s="551"/>
      <c r="K4" s="551"/>
      <c r="L4" s="551"/>
      <c r="M4" s="1078" t="s">
        <v>252</v>
      </c>
      <c r="N4" s="1078" t="s">
        <v>253</v>
      </c>
      <c r="O4" s="1078" t="s">
        <v>254</v>
      </c>
      <c r="P4" s="1079" t="s">
        <v>160</v>
      </c>
      <c r="Q4" s="552"/>
      <c r="R4" s="552"/>
      <c r="S4" s="552"/>
      <c r="T4" s="552"/>
      <c r="U4" s="553"/>
    </row>
    <row r="5" spans="2:23" ht="30" customHeight="1" x14ac:dyDescent="0.15">
      <c r="C5" s="1068" t="s">
        <v>110</v>
      </c>
      <c r="D5" s="1069"/>
      <c r="E5" s="1070"/>
      <c r="F5" s="552"/>
      <c r="G5" s="552"/>
      <c r="I5" s="552"/>
      <c r="J5" s="551"/>
      <c r="K5" s="551"/>
      <c r="L5" s="551"/>
      <c r="M5" s="1078"/>
      <c r="N5" s="1078"/>
      <c r="O5" s="1078"/>
      <c r="P5" s="1079"/>
      <c r="Q5" s="552"/>
      <c r="R5" s="552"/>
      <c r="S5" s="552"/>
      <c r="T5" s="552"/>
      <c r="U5" s="553"/>
    </row>
    <row r="6" spans="2:23" ht="28.5" customHeight="1" x14ac:dyDescent="0.15">
      <c r="C6" s="554" t="str">
        <f>IF($E$4="","",VLOOKUP($E$4,'1-1.従業員データ給与改定案入力画面'!$C$10:$AL$1010,2,0))</f>
        <v>ＡＣ</v>
      </c>
      <c r="E6" s="549" t="s">
        <v>32</v>
      </c>
      <c r="F6" s="552"/>
      <c r="G6" s="552"/>
      <c r="I6" s="552"/>
      <c r="J6" s="555"/>
      <c r="K6" s="555"/>
      <c r="L6" s="555"/>
      <c r="M6" s="556">
        <f>IF($E$4="","",VLOOKUP($E$4,'1-1.従業員データ給与改定案入力画面'!$C$10:$AL$1010,31,0)-VLOOKUP($E$4,'1-1.従業員データ給与改定案入力画面'!$C$10:$AL$1010,19,0))</f>
        <v>2000</v>
      </c>
      <c r="N6" s="556">
        <f>IF($E$4="","",VLOOKUP($E$4,'1-1.従業員データ給与改定案入力画面'!$C$10:$AL$1010,32,0)-VLOOKUP($E$4,'1-1.従業員データ給与改定案入力画面'!$C$10:$AL$1010,19,0))</f>
        <v>4500</v>
      </c>
      <c r="O6" s="556">
        <f>IF($E$4="","",VLOOKUP($E$4,'1-1.従業員データ給与改定案入力画面'!$C$10:$AL$1010,30,0)-VLOOKUP($E$4,'1-1.従業員データ給与改定案入力画面'!$C$10:$AL$1010,19,0))</f>
        <v>0</v>
      </c>
      <c r="P6" s="557">
        <f>IF($E$4="","",VLOOKUP($E$4,'1-1.従業員データ給与改定案入力画面'!$C$10:$AL$1010,36,0))</f>
        <v>0</v>
      </c>
      <c r="Q6" s="558"/>
      <c r="R6" s="558"/>
      <c r="S6" s="558"/>
      <c r="T6" s="558"/>
      <c r="U6" s="558"/>
    </row>
    <row r="7" spans="2:23" ht="21" customHeight="1" thickBot="1" x14ac:dyDescent="0.25">
      <c r="C7" s="559" t="s">
        <v>168</v>
      </c>
      <c r="E7" s="554">
        <f>IF($E$4="","",VLOOKUP($E$4,'1-1.従業員データ給与改定案入力画面'!$C$10:$AL$1010,11,0))</f>
        <v>4</v>
      </c>
      <c r="F7" s="560"/>
      <c r="G7" s="720"/>
      <c r="I7" s="548"/>
      <c r="J7" s="547"/>
      <c r="K7" s="547"/>
      <c r="L7" s="547"/>
      <c r="M7" s="721"/>
    </row>
    <row r="8" spans="2:23" ht="21" customHeight="1" thickBot="1" x14ac:dyDescent="0.2">
      <c r="C8" s="559" t="s">
        <v>102</v>
      </c>
      <c r="E8" s="554">
        <f>IF($E$4="","",VLOOKUP($E$4,'1-1.従業員データ給与改定案入力画面'!$C$10:$AL$1010,12,0))</f>
        <v>4</v>
      </c>
      <c r="F8" s="560"/>
      <c r="G8" s="560"/>
      <c r="H8" s="552"/>
      <c r="I8" s="561"/>
      <c r="J8" s="552"/>
      <c r="K8" s="547"/>
      <c r="L8" s="547"/>
      <c r="M8" s="1071" t="s">
        <v>297</v>
      </c>
      <c r="N8" s="1072"/>
      <c r="S8" s="1073" t="s">
        <v>108</v>
      </c>
      <c r="T8" s="1074"/>
      <c r="U8" s="1075"/>
    </row>
    <row r="9" spans="2:23" ht="21" customHeight="1" thickBot="1" x14ac:dyDescent="0.2">
      <c r="C9" s="559" t="s">
        <v>293</v>
      </c>
      <c r="E9" s="562">
        <f>IF($E$4="","",VLOOKUP($E$4,'1-1.従業員データ給与改定案入力画面'!$C$10:$AL$1010,15,0))</f>
        <v>960</v>
      </c>
      <c r="F9" s="561"/>
      <c r="G9" s="561"/>
      <c r="H9" s="552"/>
      <c r="I9" s="552"/>
      <c r="J9" s="722"/>
      <c r="K9" s="551"/>
      <c r="L9" s="551"/>
      <c r="M9" s="570">
        <v>1000000</v>
      </c>
      <c r="N9" s="723" t="s">
        <v>298</v>
      </c>
      <c r="S9" s="1076" t="s">
        <v>196</v>
      </c>
      <c r="T9" s="1077"/>
      <c r="U9" s="563">
        <f>IF('4-1.手当等支給メニュー'!$U$9="","",'4-1.手当等支給メニュー'!$U$9)</f>
        <v>1</v>
      </c>
      <c r="V9" s="564"/>
    </row>
    <row r="10" spans="2:23" ht="21" customHeight="1" x14ac:dyDescent="0.15">
      <c r="C10" s="549" t="s">
        <v>19</v>
      </c>
      <c r="E10" s="554">
        <f>IF($E$4="","",VLOOKUP($E$4,'1-1.従業員データ給与改定案入力画面'!$C$10:$AL$1010,7,0))</f>
        <v>37</v>
      </c>
      <c r="F10" s="560"/>
      <c r="G10" s="1084" t="s">
        <v>339</v>
      </c>
      <c r="H10" s="1085"/>
      <c r="I10" s="552"/>
      <c r="J10" s="724"/>
      <c r="K10" s="565"/>
      <c r="L10" s="565"/>
      <c r="M10" s="570">
        <v>1000000</v>
      </c>
      <c r="N10" s="725" t="s">
        <v>299</v>
      </c>
      <c r="S10" s="1076" t="s">
        <v>122</v>
      </c>
      <c r="T10" s="1088"/>
      <c r="U10" s="566">
        <f>IF('4-1.手当等支給メニュー'!$U$10="","",'4-1.手当等支給メニュー'!$U$10)</f>
        <v>1300000</v>
      </c>
      <c r="V10" s="564"/>
    </row>
    <row r="11" spans="2:23" ht="21" customHeight="1" thickBot="1" x14ac:dyDescent="0.2">
      <c r="C11" s="549" t="s">
        <v>145</v>
      </c>
      <c r="E11" s="554" t="str">
        <f>IF($E$4="","",VLOOKUP($E$4,'1-1.従業員データ給与改定案入力画面'!$C$10:$AL$1010,3,0))</f>
        <v>奈良市</v>
      </c>
      <c r="F11" s="560"/>
      <c r="G11" s="1086"/>
      <c r="H11" s="1087"/>
      <c r="I11" s="552"/>
      <c r="J11" s="724"/>
      <c r="M11" s="570">
        <v>1030000</v>
      </c>
      <c r="N11" s="726" t="s">
        <v>301</v>
      </c>
      <c r="S11" s="1089" t="s">
        <v>121</v>
      </c>
      <c r="T11" s="1090"/>
      <c r="U11" s="567">
        <f>IF('4-1.手当等支給メニュー'!$U$11="","",'4-1.手当等支給メニュー'!$U$11)</f>
        <v>30</v>
      </c>
      <c r="V11" s="564"/>
    </row>
    <row r="12" spans="2:23" ht="22.5" customHeight="1" thickBot="1" x14ac:dyDescent="0.2">
      <c r="C12" s="568" t="s">
        <v>294</v>
      </c>
      <c r="D12" s="552"/>
      <c r="E12" s="569"/>
      <c r="F12" s="569"/>
      <c r="G12" s="1091">
        <v>0.15</v>
      </c>
      <c r="H12" s="1092"/>
      <c r="I12" s="552"/>
      <c r="J12" s="724"/>
      <c r="K12" s="551"/>
      <c r="L12" s="551"/>
      <c r="M12" s="570">
        <v>1060000</v>
      </c>
      <c r="N12" s="571" t="s">
        <v>309</v>
      </c>
    </row>
    <row r="13" spans="2:23" s="551" customFormat="1" ht="29.25" customHeight="1" thickBot="1" x14ac:dyDescent="0.2">
      <c r="C13" s="554">
        <f>IF($E$4="","",VLOOKUP($E$4,'1-1.従業員データ給与改定案入力画面'!$C$10:$AL$1010,16,0))</f>
        <v>40</v>
      </c>
      <c r="D13" s="560"/>
      <c r="E13" s="572"/>
      <c r="F13" s="572"/>
      <c r="G13" s="572"/>
      <c r="J13" s="727"/>
      <c r="K13" s="573"/>
      <c r="L13" s="573"/>
      <c r="M13" s="570">
        <v>1300000</v>
      </c>
      <c r="N13" s="728" t="s">
        <v>300</v>
      </c>
      <c r="O13" s="574"/>
      <c r="Q13" s="1080" t="s">
        <v>320</v>
      </c>
      <c r="R13" s="1081"/>
      <c r="S13" s="1082" t="s">
        <v>320</v>
      </c>
      <c r="T13" s="1083"/>
    </row>
    <row r="14" spans="2:23" ht="53.25" customHeight="1" thickBot="1" x14ac:dyDescent="0.2">
      <c r="B14" s="575" t="s">
        <v>18</v>
      </c>
      <c r="C14" s="576" t="s">
        <v>295</v>
      </c>
      <c r="D14" s="577" t="s">
        <v>16</v>
      </c>
      <c r="E14" s="578" t="s">
        <v>318</v>
      </c>
      <c r="F14" s="579" t="s">
        <v>16</v>
      </c>
      <c r="G14" s="580" t="s">
        <v>317</v>
      </c>
      <c r="H14" s="581" t="s">
        <v>16</v>
      </c>
      <c r="I14" s="582" t="s">
        <v>321</v>
      </c>
      <c r="J14" s="582" t="s">
        <v>169</v>
      </c>
      <c r="K14" s="583" t="s">
        <v>106</v>
      </c>
      <c r="L14" s="584" t="s">
        <v>319</v>
      </c>
      <c r="M14" s="585" t="s">
        <v>296</v>
      </c>
      <c r="N14" s="586" t="s">
        <v>256</v>
      </c>
      <c r="O14" s="587" t="s">
        <v>255</v>
      </c>
      <c r="P14" s="588" t="s">
        <v>17</v>
      </c>
      <c r="Q14" s="589" t="s">
        <v>16</v>
      </c>
      <c r="R14" s="590" t="s">
        <v>16</v>
      </c>
      <c r="S14" s="587" t="s">
        <v>255</v>
      </c>
      <c r="T14" s="587" t="s">
        <v>17</v>
      </c>
      <c r="U14" s="591" t="s">
        <v>161</v>
      </c>
      <c r="V14" s="592" t="s">
        <v>163</v>
      </c>
      <c r="W14" s="593" t="s">
        <v>238</v>
      </c>
    </row>
    <row r="15" spans="2:23" ht="21.95" customHeight="1" thickBot="1" x14ac:dyDescent="0.2">
      <c r="B15" s="594">
        <v>1</v>
      </c>
      <c r="C15" s="595">
        <f t="shared" ref="C15:C44" si="0">IF($E$4="",0,IF($H15="","",$E$9+$C$13))</f>
        <v>1000</v>
      </c>
      <c r="D15" s="596" t="str">
        <f t="shared" ref="D15:D44" si="1">IF($E$4="","",IF($K15&gt;=88000,88,""))</f>
        <v/>
      </c>
      <c r="E15" s="597">
        <f>IF($E$4="","",IF(AND($I15&gt;=20,$D15=88,$P15&lt;=104000),($P15+$V15)*$G$12,0))</f>
        <v>0</v>
      </c>
      <c r="F15" s="597">
        <f>IF($E$4="","",IF(AND($I15&gt;=20,$D15=88,$P15&gt;104000),($P15+$V15)*$G$12,0))</f>
        <v>0</v>
      </c>
      <c r="G15" s="597">
        <f>IF($E$4="","",IF(AND($I15&gt;=20,$D15=88,$R15&gt;104000),($R15+$V15)*$G$12,0))</f>
        <v>0</v>
      </c>
      <c r="H15" s="598">
        <v>0</v>
      </c>
      <c r="I15" s="599">
        <f>IF($E$4="","",$E$7*$E$8)</f>
        <v>16</v>
      </c>
      <c r="J15" s="600">
        <f t="shared" ref="J15:J44" si="2">IF($E$7="","",IF($I15="","",$I15*365/7))</f>
        <v>834.28571428571433</v>
      </c>
      <c r="K15" s="601">
        <f>IF($E$4="","",IF($J15="",0,$C15*$J15/12))</f>
        <v>69523.809523809527</v>
      </c>
      <c r="L15" s="602">
        <f>IF($E$4="","",$K15+$E15+$F15)</f>
        <v>69523.809523809527</v>
      </c>
      <c r="M15" s="603">
        <f>IF($E$4="",0,IF($L15=0,0,$L15+$M$6))</f>
        <v>71523.809523809527</v>
      </c>
      <c r="N15" s="604">
        <f>IF($E$4="",0,IF($M15=0,0,$M15*12+$P$6))</f>
        <v>858285.71428571432</v>
      </c>
      <c r="O15" s="605">
        <f>IF($E$4="",0,IF($K15=0,0,$K15+$N$6))</f>
        <v>74023.809523809527</v>
      </c>
      <c r="P15" s="606">
        <f>IF($E$4="",0,IF($O15=0,0,VLOOKUP($O15,'3-1.標準報酬月額・保険料表'!$N$8:$O$57,2,TRUE)))</f>
        <v>78000</v>
      </c>
      <c r="Q15" s="607">
        <f>IF($E$4="",0,IF($L15=0,0,$L15+$N$6-$E15))</f>
        <v>74023.809523809527</v>
      </c>
      <c r="R15" s="608">
        <f>IF($E$4="",0,IF($Q15=0,0,VLOOKUP($Q15,'3-1.標準報酬月額・保険料表'!$N$8:$O$57,2,TRUE)))</f>
        <v>78000</v>
      </c>
      <c r="S15" s="605">
        <f>IF($E$4="",0,IF($K15=0,0,$K15+$N$6+$G15))</f>
        <v>74023.809523809527</v>
      </c>
      <c r="T15" s="609">
        <f>IF($E$4="",0,IF($S15=0,0,VLOOKUP($S15,'3-1.標準報酬月額・保険料表'!$N$8:$O$57,2,TRUE)))</f>
        <v>78000</v>
      </c>
      <c r="U15" s="610">
        <f t="shared" ref="U15:U44" si="3">IF($E$4="",0,ROUNDDOWN($P$6,-3))</f>
        <v>0</v>
      </c>
      <c r="V15" s="611">
        <f t="shared" ref="V15:V44" si="4">IF($E$4="",0,ROUND($U15/12,0))</f>
        <v>0</v>
      </c>
      <c r="W15" s="612">
        <f t="shared" ref="W15:W44" si="5">IF($E$4="","",IF($K15="",0,$K15+$O$6))</f>
        <v>69523.809523809527</v>
      </c>
    </row>
    <row r="16" spans="2:23" ht="21.95" customHeight="1" x14ac:dyDescent="0.15">
      <c r="B16" s="594">
        <v>2</v>
      </c>
      <c r="C16" s="613">
        <f t="shared" si="0"/>
        <v>1000</v>
      </c>
      <c r="D16" s="614" t="str">
        <f t="shared" si="1"/>
        <v/>
      </c>
      <c r="E16" s="597">
        <f t="shared" ref="E16:E44" si="6">IF($E$4="","",IF(AND($I16&gt;=20,$D16=88,$P16&lt;=104000),($P16+$V16)*$G$12,0))</f>
        <v>0</v>
      </c>
      <c r="F16" s="597">
        <f t="shared" ref="F16:F44" si="7">IF($E$4="","",IF(AND($I16&gt;=20,$D16=88,$P16&gt;104000),($P16+$V16)*$G$12,0))</f>
        <v>0</v>
      </c>
      <c r="G16" s="597">
        <f t="shared" ref="G16:G44" si="8">IF($E$4="","",IF(AND($I16&gt;=20,$D16=88,$R16&gt;104000),($R16+$V16)*$G$12,0))</f>
        <v>0</v>
      </c>
      <c r="H16" s="615">
        <f>IF($I15&gt;=39,"",$H15+1)</f>
        <v>1</v>
      </c>
      <c r="I16" s="616">
        <f>IF($H16="","",IF($I$15+$H16&gt;39,"",$I$15+$H16))</f>
        <v>17</v>
      </c>
      <c r="J16" s="602">
        <f t="shared" si="2"/>
        <v>886.42857142857144</v>
      </c>
      <c r="K16" s="601">
        <f>IF($E$4="","",IF($J16="",0,$C16*$J16/12))</f>
        <v>73869.047619047618</v>
      </c>
      <c r="L16" s="602">
        <f>IF($E$4="","",$K16+$E16+$F16)</f>
        <v>73869.047619047618</v>
      </c>
      <c r="M16" s="617">
        <f>IF($E$4="",0,IF($L16=0,0,$L16+$M$6))</f>
        <v>75869.047619047618</v>
      </c>
      <c r="N16" s="604">
        <f t="shared" ref="N16:N44" si="9">IF($E$4="",0,IF($M16=0,0,$M16*12+$P$6))</f>
        <v>910428.57142857136</v>
      </c>
      <c r="O16" s="618">
        <f t="shared" ref="O16:O44" si="10">IF($E$4="",0,IF($K16=0,0,$K16+$N$6))</f>
        <v>78369.047619047618</v>
      </c>
      <c r="P16" s="606">
        <f>IF($E$4="",0,IF($O16=0,0,VLOOKUP($O16,'3-1.標準報酬月額・保険料表'!$N$8:$O$57,2,TRUE)))</f>
        <v>78000</v>
      </c>
      <c r="Q16" s="619">
        <f t="shared" ref="Q16:Q44" si="11">IF($E$4="",0,IF($L16=0,0,$L16+$N$6-$E16))</f>
        <v>78369.047619047618</v>
      </c>
      <c r="R16" s="620">
        <f>IF($E$4="",0,IF($Q16=0,0,VLOOKUP($Q16,'3-1.標準報酬月額・保険料表'!$N$8:$O$57,2,TRUE)))</f>
        <v>78000</v>
      </c>
      <c r="S16" s="605">
        <f t="shared" ref="S16:S44" si="12">IF($E$4="",0,IF($K16=0,0,$K16+$N$6+$G16))</f>
        <v>78369.047619047618</v>
      </c>
      <c r="T16" s="609">
        <f>IF($E$4="",0,IF($S16=0,0,VLOOKUP($S16,'3-1.標準報酬月額・保険料表'!$N$8:$O$57,2,TRUE)))</f>
        <v>78000</v>
      </c>
      <c r="U16" s="621">
        <f t="shared" si="3"/>
        <v>0</v>
      </c>
      <c r="V16" s="611">
        <f t="shared" si="4"/>
        <v>0</v>
      </c>
      <c r="W16" s="612">
        <f t="shared" si="5"/>
        <v>73869.047619047618</v>
      </c>
    </row>
    <row r="17" spans="2:23" ht="21.95" customHeight="1" x14ac:dyDescent="0.15">
      <c r="B17" s="594">
        <v>3</v>
      </c>
      <c r="C17" s="613">
        <f t="shared" si="0"/>
        <v>1000</v>
      </c>
      <c r="D17" s="622" t="str">
        <f t="shared" si="1"/>
        <v/>
      </c>
      <c r="E17" s="597">
        <f t="shared" si="6"/>
        <v>0</v>
      </c>
      <c r="F17" s="597">
        <f t="shared" si="7"/>
        <v>0</v>
      </c>
      <c r="G17" s="597">
        <f t="shared" si="8"/>
        <v>0</v>
      </c>
      <c r="H17" s="623">
        <f t="shared" ref="H17:H44" si="13">IF($I16&gt;=39,"",$H16+1)</f>
        <v>2</v>
      </c>
      <c r="I17" s="624">
        <f t="shared" ref="I17:I44" si="14">IF($H17="","",IF($I$15+$H17&gt;39,"",$I$15+$H17))</f>
        <v>18</v>
      </c>
      <c r="J17" s="602">
        <f t="shared" si="2"/>
        <v>938.57142857142856</v>
      </c>
      <c r="K17" s="601">
        <f t="shared" ref="K17:K44" si="15">IF($E$4="","",IF($J17="",0,$C17*$J17/12))</f>
        <v>78214.28571428571</v>
      </c>
      <c r="L17" s="602">
        <f t="shared" ref="L17:L44" si="16">IF($E$4="","",$K17+$E17+$F17)</f>
        <v>78214.28571428571</v>
      </c>
      <c r="M17" s="617">
        <f t="shared" ref="M17:M44" si="17">IF($E$4="",0,IF($L17=0,0,$L17+$M$6))</f>
        <v>80214.28571428571</v>
      </c>
      <c r="N17" s="604">
        <f t="shared" si="9"/>
        <v>962571.42857142852</v>
      </c>
      <c r="O17" s="618">
        <f>IF($E$4="",0,IF($K17=0,0,$K17+$N$6))</f>
        <v>82714.28571428571</v>
      </c>
      <c r="P17" s="606">
        <f>IF($E$4="",0,IF($O17=0,0,VLOOKUP($O17,'3-1.標準報酬月額・保険料表'!$N$8:$O$57,2,TRUE)))</f>
        <v>78000</v>
      </c>
      <c r="Q17" s="619">
        <f t="shared" si="11"/>
        <v>82714.28571428571</v>
      </c>
      <c r="R17" s="620">
        <f>IF($E$4="",0,IF($Q17=0,0,VLOOKUP($Q17,'3-1.標準報酬月額・保険料表'!$N$8:$O$57,2,TRUE)))</f>
        <v>78000</v>
      </c>
      <c r="S17" s="605">
        <f t="shared" si="12"/>
        <v>82714.28571428571</v>
      </c>
      <c r="T17" s="609">
        <f>IF($E$4="",0,IF($S17=0,0,VLOOKUP($S17,'3-1.標準報酬月額・保険料表'!$N$8:$O$57,2,TRUE)))</f>
        <v>78000</v>
      </c>
      <c r="U17" s="621">
        <f t="shared" si="3"/>
        <v>0</v>
      </c>
      <c r="V17" s="611">
        <f t="shared" si="4"/>
        <v>0</v>
      </c>
      <c r="W17" s="612">
        <f t="shared" si="5"/>
        <v>78214.28571428571</v>
      </c>
    </row>
    <row r="18" spans="2:23" ht="21.95" customHeight="1" x14ac:dyDescent="0.15">
      <c r="B18" s="594">
        <v>4</v>
      </c>
      <c r="C18" s="613">
        <f t="shared" si="0"/>
        <v>1000</v>
      </c>
      <c r="D18" s="622" t="str">
        <f t="shared" si="1"/>
        <v/>
      </c>
      <c r="E18" s="597">
        <f t="shared" si="6"/>
        <v>0</v>
      </c>
      <c r="F18" s="597">
        <f>IF($E$4="","",IF(AND($I18&gt;=20,$D18=88,$P18&gt;104000),($P18+$V18)*$G$12,0))</f>
        <v>0</v>
      </c>
      <c r="G18" s="597">
        <f>IF($E$4="","",IF(AND($I18&gt;=20,$D18=88,$R18&gt;104000),($R18+$V18)*$G$12,0))</f>
        <v>0</v>
      </c>
      <c r="H18" s="623">
        <f t="shared" si="13"/>
        <v>3</v>
      </c>
      <c r="I18" s="624">
        <f t="shared" si="14"/>
        <v>19</v>
      </c>
      <c r="J18" s="602">
        <f t="shared" si="2"/>
        <v>990.71428571428567</v>
      </c>
      <c r="K18" s="601">
        <f t="shared" si="15"/>
        <v>82559.523809523802</v>
      </c>
      <c r="L18" s="602">
        <f>IF($E$4="","",$K18+$E18+$F18)</f>
        <v>82559.523809523802</v>
      </c>
      <c r="M18" s="617">
        <f>IF($E$4="",0,IF($L18=0,0,$L18+$M$6))</f>
        <v>84559.523809523802</v>
      </c>
      <c r="N18" s="604">
        <f t="shared" si="9"/>
        <v>1014714.2857142857</v>
      </c>
      <c r="O18" s="618">
        <f t="shared" si="10"/>
        <v>87059.523809523802</v>
      </c>
      <c r="P18" s="606">
        <f>IF($E$4="",0,IF($O18=0,0,VLOOKUP($O18,'3-1.標準報酬月額・保険料表'!$N$8:$O$57,2,TRUE)))</f>
        <v>88000</v>
      </c>
      <c r="Q18" s="619">
        <f>IF($E$4="",0,IF($L18=0,0,$L18+$N$6-$E18))</f>
        <v>87059.523809523802</v>
      </c>
      <c r="R18" s="620">
        <f>IF($E$4="",0,IF($Q18=0,0,VLOOKUP($Q18,'3-1.標準報酬月額・保険料表'!$N$8:$O$57,2,TRUE)))</f>
        <v>88000</v>
      </c>
      <c r="S18" s="605">
        <f t="shared" si="12"/>
        <v>87059.523809523802</v>
      </c>
      <c r="T18" s="609">
        <f>IF($E$4="",0,IF($S18=0,0,VLOOKUP($S18,'3-1.標準報酬月額・保険料表'!$N$8:$O$57,2,TRUE)))</f>
        <v>88000</v>
      </c>
      <c r="U18" s="621">
        <f t="shared" si="3"/>
        <v>0</v>
      </c>
      <c r="V18" s="611">
        <f t="shared" si="4"/>
        <v>0</v>
      </c>
      <c r="W18" s="612">
        <f t="shared" si="5"/>
        <v>82559.523809523802</v>
      </c>
    </row>
    <row r="19" spans="2:23" ht="21.95" customHeight="1" x14ac:dyDescent="0.15">
      <c r="B19" s="594">
        <v>5</v>
      </c>
      <c r="C19" s="613">
        <f t="shared" si="0"/>
        <v>1000</v>
      </c>
      <c r="D19" s="622" t="str">
        <f t="shared" si="1"/>
        <v/>
      </c>
      <c r="E19" s="597">
        <f t="shared" si="6"/>
        <v>0</v>
      </c>
      <c r="F19" s="597">
        <f t="shared" si="7"/>
        <v>0</v>
      </c>
      <c r="G19" s="597">
        <f>IF($E$4="","",IF(AND($I19&gt;=20,$D19=88,$R19&gt;104000),($R19+$V19)*$G$12,0))</f>
        <v>0</v>
      </c>
      <c r="H19" s="623">
        <f t="shared" si="13"/>
        <v>4</v>
      </c>
      <c r="I19" s="624">
        <f t="shared" si="14"/>
        <v>20</v>
      </c>
      <c r="J19" s="602">
        <f t="shared" si="2"/>
        <v>1042.8571428571429</v>
      </c>
      <c r="K19" s="601">
        <f t="shared" si="15"/>
        <v>86904.761904761908</v>
      </c>
      <c r="L19" s="602">
        <f t="shared" si="16"/>
        <v>86904.761904761908</v>
      </c>
      <c r="M19" s="617">
        <f t="shared" si="17"/>
        <v>88904.761904761908</v>
      </c>
      <c r="N19" s="604">
        <f t="shared" si="9"/>
        <v>1066857.142857143</v>
      </c>
      <c r="O19" s="618">
        <f t="shared" si="10"/>
        <v>91404.761904761908</v>
      </c>
      <c r="P19" s="606">
        <f>IF($E$4="",0,IF($O19=0,0,VLOOKUP($O19,'3-1.標準報酬月額・保険料表'!$N$8:$O$57,2,TRUE)))</f>
        <v>88000</v>
      </c>
      <c r="Q19" s="619">
        <f t="shared" si="11"/>
        <v>91404.761904761908</v>
      </c>
      <c r="R19" s="620">
        <f>IF($E$4="",0,IF($Q19=0,0,VLOOKUP($Q19,'3-1.標準報酬月額・保険料表'!$N$8:$O$57,2,TRUE)))</f>
        <v>88000</v>
      </c>
      <c r="S19" s="605">
        <f t="shared" si="12"/>
        <v>91404.761904761908</v>
      </c>
      <c r="T19" s="609">
        <f>IF($E$4="",0,IF($S19=0,0,VLOOKUP($S19,'3-1.標準報酬月額・保険料表'!$N$8:$O$57,2,TRUE)))</f>
        <v>88000</v>
      </c>
      <c r="U19" s="621">
        <f t="shared" si="3"/>
        <v>0</v>
      </c>
      <c r="V19" s="611">
        <f t="shared" si="4"/>
        <v>0</v>
      </c>
      <c r="W19" s="612">
        <f t="shared" si="5"/>
        <v>86904.761904761908</v>
      </c>
    </row>
    <row r="20" spans="2:23" ht="21.95" customHeight="1" x14ac:dyDescent="0.15">
      <c r="B20" s="594">
        <v>6</v>
      </c>
      <c r="C20" s="613">
        <f t="shared" si="0"/>
        <v>1000</v>
      </c>
      <c r="D20" s="622">
        <f t="shared" si="1"/>
        <v>88</v>
      </c>
      <c r="E20" s="597">
        <f t="shared" si="6"/>
        <v>14700</v>
      </c>
      <c r="F20" s="597">
        <f t="shared" si="7"/>
        <v>0</v>
      </c>
      <c r="G20" s="597">
        <f t="shared" si="8"/>
        <v>0</v>
      </c>
      <c r="H20" s="623">
        <f t="shared" si="13"/>
        <v>5</v>
      </c>
      <c r="I20" s="624">
        <f t="shared" si="14"/>
        <v>21</v>
      </c>
      <c r="J20" s="602">
        <f t="shared" si="2"/>
        <v>1095</v>
      </c>
      <c r="K20" s="601">
        <f t="shared" si="15"/>
        <v>91250</v>
      </c>
      <c r="L20" s="602">
        <f>IF($E$4="","",$K20+$E20+$F20)</f>
        <v>105950</v>
      </c>
      <c r="M20" s="617">
        <f t="shared" si="17"/>
        <v>107950</v>
      </c>
      <c r="N20" s="604">
        <f t="shared" si="9"/>
        <v>1295400</v>
      </c>
      <c r="O20" s="618">
        <f t="shared" si="10"/>
        <v>95750</v>
      </c>
      <c r="P20" s="606">
        <f>IF($E$4="",0,IF($O20=0,0,VLOOKUP($O20,'3-1.標準報酬月額・保険料表'!$N$8:$O$57,2,TRUE)))</f>
        <v>98000</v>
      </c>
      <c r="Q20" s="619">
        <f>IF($E$4="",0,IF($L20=0,0,$L20+$N$6-$E20))</f>
        <v>95750</v>
      </c>
      <c r="R20" s="620">
        <f>IF($E$4="",0,IF($Q20=0,0,VLOOKUP($Q20,'3-1.標準報酬月額・保険料表'!$N$8:$O$57,2,TRUE)))</f>
        <v>98000</v>
      </c>
      <c r="S20" s="605">
        <f t="shared" si="12"/>
        <v>95750</v>
      </c>
      <c r="T20" s="609">
        <f>IF($E$4="",0,IF($S20=0,0,VLOOKUP($S20,'3-1.標準報酬月額・保険料表'!$N$8:$O$57,2,TRUE)))</f>
        <v>98000</v>
      </c>
      <c r="U20" s="621">
        <f t="shared" si="3"/>
        <v>0</v>
      </c>
      <c r="V20" s="611">
        <f t="shared" si="4"/>
        <v>0</v>
      </c>
      <c r="W20" s="612">
        <f t="shared" si="5"/>
        <v>91250</v>
      </c>
    </row>
    <row r="21" spans="2:23" ht="21.95" customHeight="1" x14ac:dyDescent="0.15">
      <c r="B21" s="594">
        <v>7</v>
      </c>
      <c r="C21" s="613">
        <f t="shared" si="0"/>
        <v>1000</v>
      </c>
      <c r="D21" s="622">
        <f t="shared" si="1"/>
        <v>88</v>
      </c>
      <c r="E21" s="597">
        <f t="shared" si="6"/>
        <v>14700</v>
      </c>
      <c r="F21" s="625">
        <f t="shared" si="7"/>
        <v>0</v>
      </c>
      <c r="G21" s="625">
        <f t="shared" si="8"/>
        <v>0</v>
      </c>
      <c r="H21" s="623">
        <f t="shared" si="13"/>
        <v>6</v>
      </c>
      <c r="I21" s="624">
        <f t="shared" si="14"/>
        <v>22</v>
      </c>
      <c r="J21" s="602">
        <f t="shared" si="2"/>
        <v>1147.1428571428571</v>
      </c>
      <c r="K21" s="601">
        <f t="shared" si="15"/>
        <v>95595.238095238092</v>
      </c>
      <c r="L21" s="602">
        <f t="shared" si="16"/>
        <v>110295.23809523809</v>
      </c>
      <c r="M21" s="617">
        <f t="shared" si="17"/>
        <v>112295.23809523809</v>
      </c>
      <c r="N21" s="604">
        <f t="shared" si="9"/>
        <v>1347542.857142857</v>
      </c>
      <c r="O21" s="618">
        <f t="shared" si="10"/>
        <v>100095.23809523809</v>
      </c>
      <c r="P21" s="606">
        <f>IF($E$4="",0,IF($O21=0,0,VLOOKUP($O21,'3-1.標準報酬月額・保険料表'!$N$8:$O$57,2,TRUE)))</f>
        <v>98000</v>
      </c>
      <c r="Q21" s="619">
        <f t="shared" si="11"/>
        <v>100095.23809523809</v>
      </c>
      <c r="R21" s="620">
        <f>IF($E$4="",0,IF($Q21=0,0,VLOOKUP($Q21,'3-1.標準報酬月額・保険料表'!$N$8:$O$57,2,TRUE)))</f>
        <v>98000</v>
      </c>
      <c r="S21" s="605">
        <f t="shared" si="12"/>
        <v>100095.23809523809</v>
      </c>
      <c r="T21" s="609">
        <f>IF($E$4="",0,IF($S21=0,0,VLOOKUP($S21,'3-1.標準報酬月額・保険料表'!$N$8:$O$57,2,TRUE)))</f>
        <v>98000</v>
      </c>
      <c r="U21" s="621">
        <f t="shared" si="3"/>
        <v>0</v>
      </c>
      <c r="V21" s="611">
        <f t="shared" si="4"/>
        <v>0</v>
      </c>
      <c r="W21" s="612">
        <f t="shared" si="5"/>
        <v>95595.238095238092</v>
      </c>
    </row>
    <row r="22" spans="2:23" ht="21.95" customHeight="1" x14ac:dyDescent="0.15">
      <c r="B22" s="594">
        <v>8</v>
      </c>
      <c r="C22" s="613">
        <f t="shared" si="0"/>
        <v>1000</v>
      </c>
      <c r="D22" s="622">
        <f t="shared" si="1"/>
        <v>88</v>
      </c>
      <c r="E22" s="597">
        <f t="shared" si="6"/>
        <v>15600</v>
      </c>
      <c r="F22" s="625">
        <f t="shared" si="7"/>
        <v>0</v>
      </c>
      <c r="G22" s="625">
        <f t="shared" si="8"/>
        <v>0</v>
      </c>
      <c r="H22" s="623">
        <f t="shared" si="13"/>
        <v>7</v>
      </c>
      <c r="I22" s="624">
        <f t="shared" si="14"/>
        <v>23</v>
      </c>
      <c r="J22" s="602">
        <f t="shared" si="2"/>
        <v>1199.2857142857142</v>
      </c>
      <c r="K22" s="601">
        <f t="shared" si="15"/>
        <v>99940.476190476198</v>
      </c>
      <c r="L22" s="602">
        <f t="shared" si="16"/>
        <v>115540.4761904762</v>
      </c>
      <c r="M22" s="617">
        <f>IF($E$4="",0,IF($L22=0,0,$L22+$M$6))</f>
        <v>117540.4761904762</v>
      </c>
      <c r="N22" s="604">
        <f t="shared" si="9"/>
        <v>1410485.7142857143</v>
      </c>
      <c r="O22" s="618">
        <f t="shared" si="10"/>
        <v>104440.4761904762</v>
      </c>
      <c r="P22" s="606">
        <f>IF($E$4="",0,IF($O22=0,0,VLOOKUP($O22,'3-1.標準報酬月額・保険料表'!$N$8:$O$57,2,TRUE)))</f>
        <v>104000</v>
      </c>
      <c r="Q22" s="619">
        <f t="shared" si="11"/>
        <v>104440.4761904762</v>
      </c>
      <c r="R22" s="620">
        <f>IF($E$4="",0,IF($Q22=0,0,VLOOKUP($Q22,'3-1.標準報酬月額・保険料表'!$N$8:$O$57,2,TRUE)))</f>
        <v>104000</v>
      </c>
      <c r="S22" s="605">
        <f t="shared" si="12"/>
        <v>104440.4761904762</v>
      </c>
      <c r="T22" s="609">
        <f>IF($E$4="",0,IF($S22=0,0,VLOOKUP($S22,'3-1.標準報酬月額・保険料表'!$N$8:$O$57,2,TRUE)))</f>
        <v>104000</v>
      </c>
      <c r="U22" s="621">
        <f t="shared" si="3"/>
        <v>0</v>
      </c>
      <c r="V22" s="611">
        <f t="shared" si="4"/>
        <v>0</v>
      </c>
      <c r="W22" s="612">
        <f t="shared" si="5"/>
        <v>99940.476190476198</v>
      </c>
    </row>
    <row r="23" spans="2:23" ht="21.95" customHeight="1" x14ac:dyDescent="0.15">
      <c r="B23" s="594">
        <v>9</v>
      </c>
      <c r="C23" s="613">
        <f t="shared" si="0"/>
        <v>1000</v>
      </c>
      <c r="D23" s="622">
        <f t="shared" si="1"/>
        <v>88</v>
      </c>
      <c r="E23" s="597">
        <f t="shared" si="6"/>
        <v>0</v>
      </c>
      <c r="F23" s="625">
        <f t="shared" si="7"/>
        <v>16500</v>
      </c>
      <c r="G23" s="625">
        <f t="shared" si="8"/>
        <v>18900</v>
      </c>
      <c r="H23" s="623">
        <f t="shared" si="13"/>
        <v>8</v>
      </c>
      <c r="I23" s="624">
        <f t="shared" si="14"/>
        <v>24</v>
      </c>
      <c r="J23" s="602">
        <f t="shared" si="2"/>
        <v>1251.4285714285713</v>
      </c>
      <c r="K23" s="601">
        <f t="shared" si="15"/>
        <v>104285.71428571428</v>
      </c>
      <c r="L23" s="602">
        <f>IF($E$4="","",$K23+$E23+$F23)</f>
        <v>120785.71428571428</v>
      </c>
      <c r="M23" s="617">
        <f t="shared" si="17"/>
        <v>122785.71428571428</v>
      </c>
      <c r="N23" s="604">
        <f t="shared" si="9"/>
        <v>1473428.5714285714</v>
      </c>
      <c r="O23" s="618">
        <f t="shared" si="10"/>
        <v>108785.71428571428</v>
      </c>
      <c r="P23" s="606">
        <f>IF($E$4="",0,IF($O23=0,0,VLOOKUP($O23,'3-1.標準報酬月額・保険料表'!$N$8:$O$57,2,TRUE)))</f>
        <v>110000</v>
      </c>
      <c r="Q23" s="619">
        <f t="shared" si="11"/>
        <v>125285.71428571428</v>
      </c>
      <c r="R23" s="620">
        <f>IF($E$4="",0,IF($Q23=0,0,VLOOKUP($Q23,'3-1.標準報酬月額・保険料表'!$N$8:$O$57,2,TRUE)))</f>
        <v>126000</v>
      </c>
      <c r="S23" s="605">
        <f t="shared" si="12"/>
        <v>127685.71428571428</v>
      </c>
      <c r="T23" s="609">
        <f>IF($E$4="",0,IF($S23=0,0,VLOOKUP($S23,'3-1.標準報酬月額・保険料表'!$N$8:$O$57,2,TRUE)))</f>
        <v>126000</v>
      </c>
      <c r="U23" s="621">
        <f t="shared" si="3"/>
        <v>0</v>
      </c>
      <c r="V23" s="611">
        <f t="shared" si="4"/>
        <v>0</v>
      </c>
      <c r="W23" s="612">
        <f t="shared" si="5"/>
        <v>104285.71428571428</v>
      </c>
    </row>
    <row r="24" spans="2:23" ht="21.95" customHeight="1" x14ac:dyDescent="0.15">
      <c r="B24" s="594">
        <v>10</v>
      </c>
      <c r="C24" s="613">
        <f t="shared" si="0"/>
        <v>1000</v>
      </c>
      <c r="D24" s="622">
        <f t="shared" si="1"/>
        <v>88</v>
      </c>
      <c r="E24" s="597">
        <f t="shared" si="6"/>
        <v>0</v>
      </c>
      <c r="F24" s="625">
        <f t="shared" si="7"/>
        <v>16500</v>
      </c>
      <c r="G24" s="625">
        <f t="shared" si="8"/>
        <v>18900</v>
      </c>
      <c r="H24" s="623">
        <f t="shared" si="13"/>
        <v>9</v>
      </c>
      <c r="I24" s="624">
        <f t="shared" si="14"/>
        <v>25</v>
      </c>
      <c r="J24" s="602">
        <f t="shared" si="2"/>
        <v>1303.5714285714287</v>
      </c>
      <c r="K24" s="601">
        <f t="shared" si="15"/>
        <v>108630.95238095238</v>
      </c>
      <c r="L24" s="602">
        <f t="shared" si="16"/>
        <v>125130.95238095238</v>
      </c>
      <c r="M24" s="617">
        <f t="shared" si="17"/>
        <v>127130.95238095238</v>
      </c>
      <c r="N24" s="604">
        <f t="shared" si="9"/>
        <v>1525571.4285714286</v>
      </c>
      <c r="O24" s="618">
        <f t="shared" si="10"/>
        <v>113130.95238095238</v>
      </c>
      <c r="P24" s="606">
        <f>IF($E$4="",0,IF($O24=0,0,VLOOKUP($O24,'3-1.標準報酬月額・保険料表'!$N$8:$O$57,2,TRUE)))</f>
        <v>110000</v>
      </c>
      <c r="Q24" s="619">
        <f t="shared" si="11"/>
        <v>129630.95238095238</v>
      </c>
      <c r="R24" s="620">
        <f>IF($E$4="",0,IF($Q24=0,0,VLOOKUP($Q24,'3-1.標準報酬月額・保険料表'!$N$8:$O$57,2,TRUE)))</f>
        <v>126000</v>
      </c>
      <c r="S24" s="605">
        <f t="shared" si="12"/>
        <v>132030.95238095237</v>
      </c>
      <c r="T24" s="609">
        <f>IF($E$4="",0,IF($S24=0,0,VLOOKUP($S24,'3-1.標準報酬月額・保険料表'!$N$8:$O$57,2,TRUE)))</f>
        <v>134000</v>
      </c>
      <c r="U24" s="621">
        <f t="shared" si="3"/>
        <v>0</v>
      </c>
      <c r="V24" s="611">
        <f t="shared" si="4"/>
        <v>0</v>
      </c>
      <c r="W24" s="612">
        <f t="shared" si="5"/>
        <v>108630.95238095238</v>
      </c>
    </row>
    <row r="25" spans="2:23" ht="21.95" customHeight="1" x14ac:dyDescent="0.15">
      <c r="B25" s="594">
        <v>11</v>
      </c>
      <c r="C25" s="613">
        <f t="shared" si="0"/>
        <v>1000</v>
      </c>
      <c r="D25" s="622">
        <f t="shared" si="1"/>
        <v>88</v>
      </c>
      <c r="E25" s="597">
        <f t="shared" si="6"/>
        <v>0</v>
      </c>
      <c r="F25" s="625">
        <f t="shared" si="7"/>
        <v>17700</v>
      </c>
      <c r="G25" s="625">
        <f t="shared" si="8"/>
        <v>20100</v>
      </c>
      <c r="H25" s="623">
        <f t="shared" si="13"/>
        <v>10</v>
      </c>
      <c r="I25" s="624">
        <f t="shared" si="14"/>
        <v>26</v>
      </c>
      <c r="J25" s="602">
        <f t="shared" si="2"/>
        <v>1355.7142857142858</v>
      </c>
      <c r="K25" s="601">
        <f t="shared" si="15"/>
        <v>112976.19047619047</v>
      </c>
      <c r="L25" s="602">
        <f t="shared" si="16"/>
        <v>130676.19047619047</v>
      </c>
      <c r="M25" s="617">
        <f t="shared" si="17"/>
        <v>132676.19047619047</v>
      </c>
      <c r="N25" s="604">
        <f t="shared" si="9"/>
        <v>1592114.2857142857</v>
      </c>
      <c r="O25" s="618">
        <f t="shared" si="10"/>
        <v>117476.19047619047</v>
      </c>
      <c r="P25" s="606">
        <f>IF($E$4="",0,IF($O25=0,0,VLOOKUP($O25,'3-1.標準報酬月額・保険料表'!$N$8:$O$57,2,TRUE)))</f>
        <v>118000</v>
      </c>
      <c r="Q25" s="619">
        <f t="shared" si="11"/>
        <v>135176.19047619047</v>
      </c>
      <c r="R25" s="620">
        <f>IF($E$4="",0,IF($Q25=0,0,VLOOKUP($Q25,'3-1.標準報酬月額・保険料表'!$N$8:$O$57,2,TRUE)))</f>
        <v>134000</v>
      </c>
      <c r="S25" s="605">
        <f t="shared" si="12"/>
        <v>137576.19047619047</v>
      </c>
      <c r="T25" s="609">
        <f>IF($E$4="",0,IF($S25=0,0,VLOOKUP($S25,'3-1.標準報酬月額・保険料表'!$N$8:$O$57,2,TRUE)))</f>
        <v>134000</v>
      </c>
      <c r="U25" s="621">
        <f t="shared" si="3"/>
        <v>0</v>
      </c>
      <c r="V25" s="611">
        <f t="shared" si="4"/>
        <v>0</v>
      </c>
      <c r="W25" s="612">
        <f t="shared" si="5"/>
        <v>112976.19047619047</v>
      </c>
    </row>
    <row r="26" spans="2:23" ht="21.95" customHeight="1" x14ac:dyDescent="0.15">
      <c r="B26" s="594">
        <v>12</v>
      </c>
      <c r="C26" s="613">
        <f t="shared" si="0"/>
        <v>1000</v>
      </c>
      <c r="D26" s="622">
        <f t="shared" si="1"/>
        <v>88</v>
      </c>
      <c r="E26" s="597">
        <f t="shared" si="6"/>
        <v>0</v>
      </c>
      <c r="F26" s="625">
        <f t="shared" si="7"/>
        <v>17700</v>
      </c>
      <c r="G26" s="625">
        <f t="shared" si="8"/>
        <v>21300</v>
      </c>
      <c r="H26" s="623">
        <f t="shared" si="13"/>
        <v>11</v>
      </c>
      <c r="I26" s="624">
        <f t="shared" si="14"/>
        <v>27</v>
      </c>
      <c r="J26" s="602">
        <f t="shared" si="2"/>
        <v>1407.8571428571429</v>
      </c>
      <c r="K26" s="601">
        <f t="shared" si="15"/>
        <v>117321.42857142858</v>
      </c>
      <c r="L26" s="602">
        <f t="shared" si="16"/>
        <v>135021.42857142858</v>
      </c>
      <c r="M26" s="617">
        <f t="shared" si="17"/>
        <v>137021.42857142858</v>
      </c>
      <c r="N26" s="604">
        <f t="shared" si="9"/>
        <v>1644257.142857143</v>
      </c>
      <c r="O26" s="618">
        <f t="shared" si="10"/>
        <v>121821.42857142858</v>
      </c>
      <c r="P26" s="606">
        <f>IF($E$4="",0,IF($O26=0,0,VLOOKUP($O26,'3-1.標準報酬月額・保険料表'!$N$8:$O$57,2,TRUE)))</f>
        <v>118000</v>
      </c>
      <c r="Q26" s="619">
        <f t="shared" si="11"/>
        <v>139521.42857142858</v>
      </c>
      <c r="R26" s="620">
        <f>IF($E$4="",0,IF($Q26=0,0,VLOOKUP($Q26,'3-1.標準報酬月額・保険料表'!$N$8:$O$57,2,TRUE)))</f>
        <v>142000</v>
      </c>
      <c r="S26" s="605">
        <f t="shared" si="12"/>
        <v>143121.42857142858</v>
      </c>
      <c r="T26" s="609">
        <f>IF($E$4="",0,IF($S26=0,0,VLOOKUP($S26,'3-1.標準報酬月額・保険料表'!$N$8:$O$57,2,TRUE)))</f>
        <v>142000</v>
      </c>
      <c r="U26" s="621">
        <f t="shared" si="3"/>
        <v>0</v>
      </c>
      <c r="V26" s="611">
        <f t="shared" si="4"/>
        <v>0</v>
      </c>
      <c r="W26" s="612">
        <f t="shared" si="5"/>
        <v>117321.42857142858</v>
      </c>
    </row>
    <row r="27" spans="2:23" ht="21.95" customHeight="1" x14ac:dyDescent="0.15">
      <c r="B27" s="594">
        <v>13</v>
      </c>
      <c r="C27" s="613">
        <f t="shared" si="0"/>
        <v>1000</v>
      </c>
      <c r="D27" s="622">
        <f t="shared" si="1"/>
        <v>88</v>
      </c>
      <c r="E27" s="597">
        <f t="shared" si="6"/>
        <v>0</v>
      </c>
      <c r="F27" s="625">
        <f t="shared" si="7"/>
        <v>18900</v>
      </c>
      <c r="G27" s="625">
        <f t="shared" si="8"/>
        <v>21300</v>
      </c>
      <c r="H27" s="623">
        <f t="shared" si="13"/>
        <v>12</v>
      </c>
      <c r="I27" s="624">
        <f t="shared" si="14"/>
        <v>28</v>
      </c>
      <c r="J27" s="602">
        <f t="shared" si="2"/>
        <v>1460</v>
      </c>
      <c r="K27" s="601">
        <f t="shared" si="15"/>
        <v>121666.66666666667</v>
      </c>
      <c r="L27" s="602">
        <f t="shared" si="16"/>
        <v>140566.66666666669</v>
      </c>
      <c r="M27" s="617">
        <f t="shared" si="17"/>
        <v>142566.66666666669</v>
      </c>
      <c r="N27" s="604">
        <f t="shared" si="9"/>
        <v>1710800.0000000002</v>
      </c>
      <c r="O27" s="618">
        <f t="shared" si="10"/>
        <v>126166.66666666667</v>
      </c>
      <c r="P27" s="606">
        <f>IF($E$4="",0,IF($O27=0,0,VLOOKUP($O27,'3-1.標準報酬月額・保険料表'!$N$8:$O$57,2,TRUE)))</f>
        <v>126000</v>
      </c>
      <c r="Q27" s="619">
        <f t="shared" si="11"/>
        <v>145066.66666666669</v>
      </c>
      <c r="R27" s="620">
        <f>IF($E$4="",0,IF($Q27=0,0,VLOOKUP($Q27,'3-1.標準報酬月額・保険料表'!$N$8:$O$57,2,TRUE)))</f>
        <v>142000</v>
      </c>
      <c r="S27" s="605">
        <f t="shared" si="12"/>
        <v>147466.66666666669</v>
      </c>
      <c r="T27" s="609">
        <f>IF($E$4="",0,IF($S27=0,0,VLOOKUP($S27,'3-1.標準報酬月額・保険料表'!$N$8:$O$57,2,TRUE)))</f>
        <v>150000</v>
      </c>
      <c r="U27" s="621">
        <f t="shared" si="3"/>
        <v>0</v>
      </c>
      <c r="V27" s="611">
        <f t="shared" si="4"/>
        <v>0</v>
      </c>
      <c r="W27" s="612">
        <f t="shared" si="5"/>
        <v>121666.66666666667</v>
      </c>
    </row>
    <row r="28" spans="2:23" ht="21.95" customHeight="1" x14ac:dyDescent="0.15">
      <c r="B28" s="594">
        <v>14</v>
      </c>
      <c r="C28" s="613">
        <f t="shared" si="0"/>
        <v>1000</v>
      </c>
      <c r="D28" s="622">
        <f t="shared" si="1"/>
        <v>88</v>
      </c>
      <c r="E28" s="597">
        <f t="shared" si="6"/>
        <v>0</v>
      </c>
      <c r="F28" s="625">
        <f t="shared" si="7"/>
        <v>20100</v>
      </c>
      <c r="G28" s="625">
        <f t="shared" si="8"/>
        <v>22500</v>
      </c>
      <c r="H28" s="623">
        <f t="shared" si="13"/>
        <v>13</v>
      </c>
      <c r="I28" s="624">
        <f t="shared" si="14"/>
        <v>29</v>
      </c>
      <c r="J28" s="602">
        <f t="shared" si="2"/>
        <v>1512.1428571428571</v>
      </c>
      <c r="K28" s="601">
        <f t="shared" si="15"/>
        <v>126011.90476190475</v>
      </c>
      <c r="L28" s="602">
        <f t="shared" si="16"/>
        <v>146111.90476190473</v>
      </c>
      <c r="M28" s="617">
        <f t="shared" si="17"/>
        <v>148111.90476190473</v>
      </c>
      <c r="N28" s="604">
        <f t="shared" si="9"/>
        <v>1777342.8571428568</v>
      </c>
      <c r="O28" s="618">
        <f t="shared" si="10"/>
        <v>130511.90476190475</v>
      </c>
      <c r="P28" s="606">
        <f>IF($E$4="",0,IF($O28=0,0,VLOOKUP($O28,'3-1.標準報酬月額・保険料表'!$N$8:$O$57,2,TRUE)))</f>
        <v>134000</v>
      </c>
      <c r="Q28" s="619">
        <f t="shared" si="11"/>
        <v>150611.90476190473</v>
      </c>
      <c r="R28" s="620">
        <f>IF($E$4="",0,IF($Q28=0,0,VLOOKUP($Q28,'3-1.標準報酬月額・保険料表'!$N$8:$O$57,2,TRUE)))</f>
        <v>150000</v>
      </c>
      <c r="S28" s="605">
        <f t="shared" si="12"/>
        <v>153011.90476190473</v>
      </c>
      <c r="T28" s="609">
        <f>IF($E$4="",0,IF($S28=0,0,VLOOKUP($S28,'3-1.標準報酬月額・保険料表'!$N$8:$O$57,2,TRUE)))</f>
        <v>150000</v>
      </c>
      <c r="U28" s="621">
        <f t="shared" si="3"/>
        <v>0</v>
      </c>
      <c r="V28" s="611">
        <f t="shared" si="4"/>
        <v>0</v>
      </c>
      <c r="W28" s="612">
        <f t="shared" si="5"/>
        <v>126011.90476190475</v>
      </c>
    </row>
    <row r="29" spans="2:23" ht="21.95" customHeight="1" x14ac:dyDescent="0.15">
      <c r="B29" s="594">
        <v>15</v>
      </c>
      <c r="C29" s="613">
        <f t="shared" si="0"/>
        <v>1000</v>
      </c>
      <c r="D29" s="622">
        <f t="shared" si="1"/>
        <v>88</v>
      </c>
      <c r="E29" s="597">
        <f t="shared" si="6"/>
        <v>0</v>
      </c>
      <c r="F29" s="625">
        <f t="shared" si="7"/>
        <v>20100</v>
      </c>
      <c r="G29" s="625">
        <f t="shared" si="8"/>
        <v>22500</v>
      </c>
      <c r="H29" s="623">
        <f t="shared" si="13"/>
        <v>14</v>
      </c>
      <c r="I29" s="624">
        <f t="shared" si="14"/>
        <v>30</v>
      </c>
      <c r="J29" s="602">
        <f t="shared" si="2"/>
        <v>1564.2857142857142</v>
      </c>
      <c r="K29" s="601">
        <f t="shared" si="15"/>
        <v>130357.14285714286</v>
      </c>
      <c r="L29" s="602">
        <f t="shared" si="16"/>
        <v>150457.14285714284</v>
      </c>
      <c r="M29" s="617">
        <f t="shared" si="17"/>
        <v>152457.14285714284</v>
      </c>
      <c r="N29" s="604">
        <f t="shared" si="9"/>
        <v>1829485.7142857141</v>
      </c>
      <c r="O29" s="618">
        <f t="shared" si="10"/>
        <v>134857.14285714284</v>
      </c>
      <c r="P29" s="606">
        <f>IF($E$4="",0,IF($O29=0,0,VLOOKUP($O29,'3-1.標準報酬月額・保険料表'!$N$8:$O$57,2,TRUE)))</f>
        <v>134000</v>
      </c>
      <c r="Q29" s="619">
        <f t="shared" si="11"/>
        <v>154957.14285714284</v>
      </c>
      <c r="R29" s="620">
        <f>IF($E$4="",0,IF($Q29=0,0,VLOOKUP($Q29,'3-1.標準報酬月額・保険料表'!$N$8:$O$57,2,TRUE)))</f>
        <v>150000</v>
      </c>
      <c r="S29" s="605">
        <f t="shared" si="12"/>
        <v>157357.14285714284</v>
      </c>
      <c r="T29" s="609">
        <f>IF($E$4="",0,IF($S29=0,0,VLOOKUP($S29,'3-1.標準報酬月額・保険料表'!$N$8:$O$57,2,TRUE)))</f>
        <v>160000</v>
      </c>
      <c r="U29" s="621">
        <f t="shared" si="3"/>
        <v>0</v>
      </c>
      <c r="V29" s="611">
        <f t="shared" si="4"/>
        <v>0</v>
      </c>
      <c r="W29" s="612">
        <f t="shared" si="5"/>
        <v>130357.14285714286</v>
      </c>
    </row>
    <row r="30" spans="2:23" ht="21.95" customHeight="1" x14ac:dyDescent="0.15">
      <c r="B30" s="594">
        <v>16</v>
      </c>
      <c r="C30" s="613">
        <f t="shared" si="0"/>
        <v>1000</v>
      </c>
      <c r="D30" s="622">
        <f t="shared" si="1"/>
        <v>88</v>
      </c>
      <c r="E30" s="597">
        <f t="shared" si="6"/>
        <v>0</v>
      </c>
      <c r="F30" s="625">
        <f t="shared" si="7"/>
        <v>21300</v>
      </c>
      <c r="G30" s="625">
        <f t="shared" si="8"/>
        <v>24000</v>
      </c>
      <c r="H30" s="623">
        <f t="shared" si="13"/>
        <v>15</v>
      </c>
      <c r="I30" s="624">
        <f t="shared" si="14"/>
        <v>31</v>
      </c>
      <c r="J30" s="602">
        <f t="shared" si="2"/>
        <v>1616.4285714285713</v>
      </c>
      <c r="K30" s="601">
        <f t="shared" si="15"/>
        <v>134702.38095238095</v>
      </c>
      <c r="L30" s="602">
        <f t="shared" si="16"/>
        <v>156002.38095238095</v>
      </c>
      <c r="M30" s="617">
        <f t="shared" si="17"/>
        <v>158002.38095238095</v>
      </c>
      <c r="N30" s="604">
        <f t="shared" si="9"/>
        <v>1896028.5714285714</v>
      </c>
      <c r="O30" s="618">
        <f t="shared" si="10"/>
        <v>139202.38095238095</v>
      </c>
      <c r="P30" s="606">
        <f>IF($E$4="",0,IF($O30=0,0,VLOOKUP($O30,'3-1.標準報酬月額・保険料表'!$N$8:$O$57,2,TRUE)))</f>
        <v>142000</v>
      </c>
      <c r="Q30" s="619">
        <f t="shared" si="11"/>
        <v>160502.38095238095</v>
      </c>
      <c r="R30" s="620">
        <f>IF($E$4="",0,IF($Q30=0,0,VLOOKUP($Q30,'3-1.標準報酬月額・保険料表'!$N$8:$O$57,2,TRUE)))</f>
        <v>160000</v>
      </c>
      <c r="S30" s="605">
        <f t="shared" si="12"/>
        <v>163202.38095238095</v>
      </c>
      <c r="T30" s="609">
        <f>IF($E$4="",0,IF($S30=0,0,VLOOKUP($S30,'3-1.標準報酬月額・保険料表'!$N$8:$O$57,2,TRUE)))</f>
        <v>160000</v>
      </c>
      <c r="U30" s="621">
        <f t="shared" si="3"/>
        <v>0</v>
      </c>
      <c r="V30" s="611">
        <f t="shared" si="4"/>
        <v>0</v>
      </c>
      <c r="W30" s="612">
        <f t="shared" si="5"/>
        <v>134702.38095238095</v>
      </c>
    </row>
    <row r="31" spans="2:23" ht="21.95" customHeight="1" x14ac:dyDescent="0.15">
      <c r="B31" s="594">
        <v>17</v>
      </c>
      <c r="C31" s="613">
        <f t="shared" si="0"/>
        <v>1000</v>
      </c>
      <c r="D31" s="622">
        <f t="shared" si="1"/>
        <v>88</v>
      </c>
      <c r="E31" s="597">
        <f t="shared" si="6"/>
        <v>0</v>
      </c>
      <c r="F31" s="625">
        <f t="shared" si="7"/>
        <v>21300</v>
      </c>
      <c r="G31" s="625">
        <f t="shared" si="8"/>
        <v>24000</v>
      </c>
      <c r="H31" s="623">
        <f t="shared" si="13"/>
        <v>16</v>
      </c>
      <c r="I31" s="624">
        <f t="shared" si="14"/>
        <v>32</v>
      </c>
      <c r="J31" s="602">
        <f t="shared" si="2"/>
        <v>1668.5714285714287</v>
      </c>
      <c r="K31" s="601">
        <f t="shared" si="15"/>
        <v>139047.61904761905</v>
      </c>
      <c r="L31" s="602">
        <f t="shared" si="16"/>
        <v>160347.61904761905</v>
      </c>
      <c r="M31" s="617">
        <f t="shared" si="17"/>
        <v>162347.61904761905</v>
      </c>
      <c r="N31" s="604">
        <f t="shared" si="9"/>
        <v>1948171.4285714286</v>
      </c>
      <c r="O31" s="618">
        <f t="shared" si="10"/>
        <v>143547.61904761905</v>
      </c>
      <c r="P31" s="606">
        <f>IF($E$4="",0,IF($O31=0,0,VLOOKUP($O31,'3-1.標準報酬月額・保険料表'!$N$8:$O$57,2,TRUE)))</f>
        <v>142000</v>
      </c>
      <c r="Q31" s="619">
        <f t="shared" si="11"/>
        <v>164847.61904761905</v>
      </c>
      <c r="R31" s="620">
        <f>IF($E$4="",0,IF($Q31=0,0,VLOOKUP($Q31,'3-1.標準報酬月額・保険料表'!$N$8:$O$57,2,TRUE)))</f>
        <v>160000</v>
      </c>
      <c r="S31" s="605">
        <f t="shared" si="12"/>
        <v>167547.61904761905</v>
      </c>
      <c r="T31" s="609">
        <f>IF($E$4="",0,IF($S31=0,0,VLOOKUP($S31,'3-1.標準報酬月額・保険料表'!$N$8:$O$57,2,TRUE)))</f>
        <v>170000</v>
      </c>
      <c r="U31" s="621">
        <f t="shared" si="3"/>
        <v>0</v>
      </c>
      <c r="V31" s="611">
        <f t="shared" si="4"/>
        <v>0</v>
      </c>
      <c r="W31" s="612">
        <f t="shared" si="5"/>
        <v>139047.61904761905</v>
      </c>
    </row>
    <row r="32" spans="2:23" ht="21.95" customHeight="1" x14ac:dyDescent="0.15">
      <c r="B32" s="594">
        <v>18</v>
      </c>
      <c r="C32" s="613">
        <f t="shared" si="0"/>
        <v>1000</v>
      </c>
      <c r="D32" s="622">
        <f t="shared" si="1"/>
        <v>88</v>
      </c>
      <c r="E32" s="597">
        <f t="shared" si="6"/>
        <v>0</v>
      </c>
      <c r="F32" s="625">
        <f t="shared" si="7"/>
        <v>22500</v>
      </c>
      <c r="G32" s="625">
        <f t="shared" si="8"/>
        <v>25500</v>
      </c>
      <c r="H32" s="623">
        <f t="shared" si="13"/>
        <v>17</v>
      </c>
      <c r="I32" s="624">
        <f t="shared" si="14"/>
        <v>33</v>
      </c>
      <c r="J32" s="602">
        <f t="shared" si="2"/>
        <v>1720.7142857142858</v>
      </c>
      <c r="K32" s="601">
        <f t="shared" si="15"/>
        <v>143392.85714285713</v>
      </c>
      <c r="L32" s="602">
        <f t="shared" si="16"/>
        <v>165892.85714285713</v>
      </c>
      <c r="M32" s="617">
        <f t="shared" si="17"/>
        <v>167892.85714285713</v>
      </c>
      <c r="N32" s="604">
        <f t="shared" si="9"/>
        <v>2014714.2857142854</v>
      </c>
      <c r="O32" s="618">
        <f t="shared" si="10"/>
        <v>147892.85714285713</v>
      </c>
      <c r="P32" s="606">
        <f>IF($E$4="",0,IF($O32=0,0,VLOOKUP($O32,'3-1.標準報酬月額・保険料表'!$N$8:$O$57,2,TRUE)))</f>
        <v>150000</v>
      </c>
      <c r="Q32" s="619">
        <f t="shared" si="11"/>
        <v>170392.85714285713</v>
      </c>
      <c r="R32" s="620">
        <f>IF($E$4="",0,IF($Q32=0,0,VLOOKUP($Q32,'3-1.標準報酬月額・保険料表'!$N$8:$O$57,2,TRUE)))</f>
        <v>170000</v>
      </c>
      <c r="S32" s="605">
        <f t="shared" si="12"/>
        <v>173392.85714285713</v>
      </c>
      <c r="T32" s="609">
        <f>IF($E$4="",0,IF($S32=0,0,VLOOKUP($S32,'3-1.標準報酬月額・保険料表'!$N$8:$O$57,2,TRUE)))</f>
        <v>170000</v>
      </c>
      <c r="U32" s="621">
        <f t="shared" si="3"/>
        <v>0</v>
      </c>
      <c r="V32" s="611">
        <f t="shared" si="4"/>
        <v>0</v>
      </c>
      <c r="W32" s="612">
        <f t="shared" si="5"/>
        <v>143392.85714285713</v>
      </c>
    </row>
    <row r="33" spans="2:23" ht="21.95" customHeight="1" x14ac:dyDescent="0.15">
      <c r="B33" s="594">
        <v>19</v>
      </c>
      <c r="C33" s="613">
        <f t="shared" si="0"/>
        <v>1000</v>
      </c>
      <c r="D33" s="622">
        <f t="shared" si="1"/>
        <v>88</v>
      </c>
      <c r="E33" s="597">
        <f t="shared" si="6"/>
        <v>0</v>
      </c>
      <c r="F33" s="625">
        <f t="shared" si="7"/>
        <v>22500</v>
      </c>
      <c r="G33" s="625">
        <f t="shared" si="8"/>
        <v>25500</v>
      </c>
      <c r="H33" s="623">
        <f t="shared" si="13"/>
        <v>18</v>
      </c>
      <c r="I33" s="624">
        <f t="shared" si="14"/>
        <v>34</v>
      </c>
      <c r="J33" s="602">
        <f t="shared" si="2"/>
        <v>1772.8571428571429</v>
      </c>
      <c r="K33" s="601">
        <f t="shared" si="15"/>
        <v>147738.09523809524</v>
      </c>
      <c r="L33" s="602">
        <f t="shared" si="16"/>
        <v>170238.09523809524</v>
      </c>
      <c r="M33" s="617">
        <f t="shared" si="17"/>
        <v>172238.09523809524</v>
      </c>
      <c r="N33" s="604">
        <f t="shared" si="9"/>
        <v>2066857.1428571427</v>
      </c>
      <c r="O33" s="618">
        <f t="shared" si="10"/>
        <v>152238.09523809524</v>
      </c>
      <c r="P33" s="606">
        <f>IF($E$4="",0,IF($O33=0,0,VLOOKUP($O33,'3-1.標準報酬月額・保険料表'!$N$8:$O$57,2,TRUE)))</f>
        <v>150000</v>
      </c>
      <c r="Q33" s="619">
        <f t="shared" si="11"/>
        <v>174738.09523809524</v>
      </c>
      <c r="R33" s="620">
        <f>IF($E$4="",0,IF($Q33=0,0,VLOOKUP($Q33,'3-1.標準報酬月額・保険料表'!$N$8:$O$57,2,TRUE)))</f>
        <v>170000</v>
      </c>
      <c r="S33" s="605">
        <f t="shared" si="12"/>
        <v>177738.09523809524</v>
      </c>
      <c r="T33" s="609">
        <f>IF($E$4="",0,IF($S33=0,0,VLOOKUP($S33,'3-1.標準報酬月額・保険料表'!$N$8:$O$57,2,TRUE)))</f>
        <v>180000</v>
      </c>
      <c r="U33" s="621">
        <f t="shared" si="3"/>
        <v>0</v>
      </c>
      <c r="V33" s="611">
        <f t="shared" si="4"/>
        <v>0</v>
      </c>
      <c r="W33" s="612">
        <f t="shared" si="5"/>
        <v>147738.09523809524</v>
      </c>
    </row>
    <row r="34" spans="2:23" ht="21.95" customHeight="1" x14ac:dyDescent="0.15">
      <c r="B34" s="594">
        <v>20</v>
      </c>
      <c r="C34" s="613">
        <f t="shared" si="0"/>
        <v>1000</v>
      </c>
      <c r="D34" s="622">
        <f t="shared" si="1"/>
        <v>88</v>
      </c>
      <c r="E34" s="597">
        <f t="shared" si="6"/>
        <v>0</v>
      </c>
      <c r="F34" s="625">
        <f t="shared" si="7"/>
        <v>24000</v>
      </c>
      <c r="G34" s="625">
        <f t="shared" si="8"/>
        <v>27000</v>
      </c>
      <c r="H34" s="623">
        <f t="shared" si="13"/>
        <v>19</v>
      </c>
      <c r="I34" s="624">
        <f t="shared" si="14"/>
        <v>35</v>
      </c>
      <c r="J34" s="602">
        <f t="shared" si="2"/>
        <v>1825</v>
      </c>
      <c r="K34" s="601">
        <f t="shared" si="15"/>
        <v>152083.33333333334</v>
      </c>
      <c r="L34" s="602">
        <f t="shared" si="16"/>
        <v>176083.33333333334</v>
      </c>
      <c r="M34" s="617">
        <f t="shared" si="17"/>
        <v>178083.33333333334</v>
      </c>
      <c r="N34" s="604">
        <f t="shared" si="9"/>
        <v>2137000</v>
      </c>
      <c r="O34" s="618">
        <f t="shared" si="10"/>
        <v>156583.33333333334</v>
      </c>
      <c r="P34" s="606">
        <f>IF($E$4="",0,IF($O34=0,0,VLOOKUP($O34,'3-1.標準報酬月額・保険料表'!$N$8:$O$57,2,TRUE)))</f>
        <v>160000</v>
      </c>
      <c r="Q34" s="619">
        <f t="shared" si="11"/>
        <v>180583.33333333334</v>
      </c>
      <c r="R34" s="620">
        <f>IF($E$4="",0,IF($Q34=0,0,VLOOKUP($Q34,'3-1.標準報酬月額・保険料表'!$N$8:$O$57,2,TRUE)))</f>
        <v>180000</v>
      </c>
      <c r="S34" s="605">
        <f t="shared" si="12"/>
        <v>183583.33333333334</v>
      </c>
      <c r="T34" s="609">
        <f>IF($E$4="",0,IF($S34=0,0,VLOOKUP($S34,'3-1.標準報酬月額・保険料表'!$N$8:$O$57,2,TRUE)))</f>
        <v>180000</v>
      </c>
      <c r="U34" s="621">
        <f t="shared" si="3"/>
        <v>0</v>
      </c>
      <c r="V34" s="611">
        <f t="shared" si="4"/>
        <v>0</v>
      </c>
      <c r="W34" s="612">
        <f t="shared" si="5"/>
        <v>152083.33333333334</v>
      </c>
    </row>
    <row r="35" spans="2:23" ht="21.95" customHeight="1" x14ac:dyDescent="0.15">
      <c r="B35" s="594">
        <v>21</v>
      </c>
      <c r="C35" s="613">
        <f t="shared" si="0"/>
        <v>1000</v>
      </c>
      <c r="D35" s="622">
        <f t="shared" si="1"/>
        <v>88</v>
      </c>
      <c r="E35" s="597">
        <f t="shared" si="6"/>
        <v>0</v>
      </c>
      <c r="F35" s="625">
        <f t="shared" si="7"/>
        <v>24000</v>
      </c>
      <c r="G35" s="625">
        <f t="shared" si="8"/>
        <v>27000</v>
      </c>
      <c r="H35" s="623">
        <f t="shared" si="13"/>
        <v>20</v>
      </c>
      <c r="I35" s="624">
        <f t="shared" si="14"/>
        <v>36</v>
      </c>
      <c r="J35" s="602">
        <f t="shared" si="2"/>
        <v>1877.1428571428571</v>
      </c>
      <c r="K35" s="601">
        <f t="shared" si="15"/>
        <v>156428.57142857142</v>
      </c>
      <c r="L35" s="602">
        <f t="shared" si="16"/>
        <v>180428.57142857142</v>
      </c>
      <c r="M35" s="617">
        <f t="shared" si="17"/>
        <v>182428.57142857142</v>
      </c>
      <c r="N35" s="604">
        <f t="shared" si="9"/>
        <v>2189142.8571428573</v>
      </c>
      <c r="O35" s="618">
        <f t="shared" si="10"/>
        <v>160928.57142857142</v>
      </c>
      <c r="P35" s="606">
        <f>IF($E$4="",0,IF($O35=0,0,VLOOKUP($O35,'3-1.標準報酬月額・保険料表'!$N$8:$O$57,2,TRUE)))</f>
        <v>160000</v>
      </c>
      <c r="Q35" s="619">
        <f t="shared" si="11"/>
        <v>184928.57142857142</v>
      </c>
      <c r="R35" s="620">
        <f>IF($E$4="",0,IF($Q35=0,0,VLOOKUP($Q35,'3-1.標準報酬月額・保険料表'!$N$8:$O$57,2,TRUE)))</f>
        <v>180000</v>
      </c>
      <c r="S35" s="605">
        <f t="shared" si="12"/>
        <v>187928.57142857142</v>
      </c>
      <c r="T35" s="609">
        <f>IF($E$4="",0,IF($S35=0,0,VLOOKUP($S35,'3-1.標準報酬月額・保険料表'!$N$8:$O$57,2,TRUE)))</f>
        <v>190000</v>
      </c>
      <c r="U35" s="621">
        <f t="shared" si="3"/>
        <v>0</v>
      </c>
      <c r="V35" s="611">
        <f t="shared" si="4"/>
        <v>0</v>
      </c>
      <c r="W35" s="612">
        <f t="shared" si="5"/>
        <v>156428.57142857142</v>
      </c>
    </row>
    <row r="36" spans="2:23" ht="21.95" customHeight="1" x14ac:dyDescent="0.15">
      <c r="B36" s="594">
        <v>22</v>
      </c>
      <c r="C36" s="613">
        <f t="shared" si="0"/>
        <v>1000</v>
      </c>
      <c r="D36" s="622">
        <f t="shared" si="1"/>
        <v>88</v>
      </c>
      <c r="E36" s="597">
        <f t="shared" si="6"/>
        <v>0</v>
      </c>
      <c r="F36" s="625">
        <f t="shared" si="7"/>
        <v>25500</v>
      </c>
      <c r="G36" s="625">
        <f t="shared" si="8"/>
        <v>28500</v>
      </c>
      <c r="H36" s="623">
        <f t="shared" si="13"/>
        <v>21</v>
      </c>
      <c r="I36" s="624">
        <f t="shared" si="14"/>
        <v>37</v>
      </c>
      <c r="J36" s="602">
        <f t="shared" si="2"/>
        <v>1929.2857142857142</v>
      </c>
      <c r="K36" s="601">
        <f t="shared" si="15"/>
        <v>160773.80952380953</v>
      </c>
      <c r="L36" s="602">
        <f t="shared" si="16"/>
        <v>186273.80952380953</v>
      </c>
      <c r="M36" s="617">
        <f t="shared" si="17"/>
        <v>188273.80952380953</v>
      </c>
      <c r="N36" s="604">
        <f t="shared" si="9"/>
        <v>2259285.7142857146</v>
      </c>
      <c r="O36" s="618">
        <f t="shared" si="10"/>
        <v>165273.80952380953</v>
      </c>
      <c r="P36" s="606">
        <f>IF($E$4="",0,IF($O36=0,0,VLOOKUP($O36,'3-1.標準報酬月額・保険料表'!$N$8:$O$57,2,TRUE)))</f>
        <v>170000</v>
      </c>
      <c r="Q36" s="619">
        <f t="shared" si="11"/>
        <v>190773.80952380953</v>
      </c>
      <c r="R36" s="620">
        <f>IF($E$4="",0,IF($Q36=0,0,VLOOKUP($Q36,'3-1.標準報酬月額・保険料表'!$N$8:$O$57,2,TRUE)))</f>
        <v>190000</v>
      </c>
      <c r="S36" s="605">
        <f t="shared" si="12"/>
        <v>193773.80952380953</v>
      </c>
      <c r="T36" s="609">
        <f>IF($E$4="",0,IF($S36=0,0,VLOOKUP($S36,'3-1.標準報酬月額・保険料表'!$N$8:$O$57,2,TRUE)))</f>
        <v>190000</v>
      </c>
      <c r="U36" s="621">
        <f t="shared" si="3"/>
        <v>0</v>
      </c>
      <c r="V36" s="611">
        <f t="shared" si="4"/>
        <v>0</v>
      </c>
      <c r="W36" s="612">
        <f t="shared" si="5"/>
        <v>160773.80952380953</v>
      </c>
    </row>
    <row r="37" spans="2:23" ht="21.95" customHeight="1" x14ac:dyDescent="0.15">
      <c r="B37" s="594">
        <v>23</v>
      </c>
      <c r="C37" s="613">
        <f t="shared" si="0"/>
        <v>1000</v>
      </c>
      <c r="D37" s="622">
        <f t="shared" si="1"/>
        <v>88</v>
      </c>
      <c r="E37" s="597">
        <f t="shared" si="6"/>
        <v>0</v>
      </c>
      <c r="F37" s="625">
        <f t="shared" si="7"/>
        <v>25500</v>
      </c>
      <c r="G37" s="625">
        <f t="shared" si="8"/>
        <v>30000</v>
      </c>
      <c r="H37" s="623">
        <f t="shared" si="13"/>
        <v>22</v>
      </c>
      <c r="I37" s="624">
        <f t="shared" si="14"/>
        <v>38</v>
      </c>
      <c r="J37" s="602">
        <f t="shared" si="2"/>
        <v>1981.4285714285713</v>
      </c>
      <c r="K37" s="601">
        <f t="shared" si="15"/>
        <v>165119.0476190476</v>
      </c>
      <c r="L37" s="602">
        <f t="shared" si="16"/>
        <v>190619.0476190476</v>
      </c>
      <c r="M37" s="617">
        <f t="shared" si="17"/>
        <v>192619.0476190476</v>
      </c>
      <c r="N37" s="604">
        <f t="shared" si="9"/>
        <v>2311428.5714285714</v>
      </c>
      <c r="O37" s="618">
        <f t="shared" si="10"/>
        <v>169619.0476190476</v>
      </c>
      <c r="P37" s="606">
        <f>IF($E$4="",0,IF($O37=0,0,VLOOKUP($O37,'3-1.標準報酬月額・保険料表'!$N$8:$O$57,2,TRUE)))</f>
        <v>170000</v>
      </c>
      <c r="Q37" s="619">
        <f t="shared" si="11"/>
        <v>195119.0476190476</v>
      </c>
      <c r="R37" s="620">
        <f>IF($E$4="",0,IF($Q37=0,0,VLOOKUP($Q37,'3-1.標準報酬月額・保険料表'!$N$8:$O$57,2,TRUE)))</f>
        <v>200000</v>
      </c>
      <c r="S37" s="605">
        <f t="shared" si="12"/>
        <v>199619.0476190476</v>
      </c>
      <c r="T37" s="609">
        <f>IF($E$4="",0,IF($S37=0,0,VLOOKUP($S37,'3-1.標準報酬月額・保険料表'!$N$8:$O$57,2,TRUE)))</f>
        <v>200000</v>
      </c>
      <c r="U37" s="621">
        <f t="shared" si="3"/>
        <v>0</v>
      </c>
      <c r="V37" s="611">
        <f t="shared" si="4"/>
        <v>0</v>
      </c>
      <c r="W37" s="612">
        <f t="shared" si="5"/>
        <v>165119.0476190476</v>
      </c>
    </row>
    <row r="38" spans="2:23" ht="21.95" customHeight="1" x14ac:dyDescent="0.15">
      <c r="B38" s="594">
        <v>24</v>
      </c>
      <c r="C38" s="613">
        <f t="shared" si="0"/>
        <v>1000</v>
      </c>
      <c r="D38" s="622">
        <f t="shared" si="1"/>
        <v>88</v>
      </c>
      <c r="E38" s="597">
        <f t="shared" si="6"/>
        <v>0</v>
      </c>
      <c r="F38" s="625">
        <f t="shared" si="7"/>
        <v>25500</v>
      </c>
      <c r="G38" s="625">
        <f t="shared" si="8"/>
        <v>30000</v>
      </c>
      <c r="H38" s="623">
        <f t="shared" si="13"/>
        <v>23</v>
      </c>
      <c r="I38" s="624">
        <f t="shared" si="14"/>
        <v>39</v>
      </c>
      <c r="J38" s="602">
        <f t="shared" si="2"/>
        <v>2033.5714285714287</v>
      </c>
      <c r="K38" s="601">
        <f t="shared" si="15"/>
        <v>169464.28571428571</v>
      </c>
      <c r="L38" s="602">
        <f t="shared" si="16"/>
        <v>194964.28571428571</v>
      </c>
      <c r="M38" s="617">
        <f t="shared" si="17"/>
        <v>196964.28571428571</v>
      </c>
      <c r="N38" s="604">
        <f t="shared" si="9"/>
        <v>2363571.4285714286</v>
      </c>
      <c r="O38" s="618">
        <f t="shared" si="10"/>
        <v>173964.28571428571</v>
      </c>
      <c r="P38" s="606">
        <f>IF($E$4="",0,IF($O38=0,0,VLOOKUP($O38,'3-1.標準報酬月額・保険料表'!$N$8:$O$57,2,TRUE)))</f>
        <v>170000</v>
      </c>
      <c r="Q38" s="619">
        <f t="shared" si="11"/>
        <v>199464.28571428571</v>
      </c>
      <c r="R38" s="620">
        <f>IF($E$4="",0,IF($Q38=0,0,VLOOKUP($Q38,'3-1.標準報酬月額・保険料表'!$N$8:$O$57,2,TRUE)))</f>
        <v>200000</v>
      </c>
      <c r="S38" s="605">
        <f t="shared" si="12"/>
        <v>203964.28571428571</v>
      </c>
      <c r="T38" s="609">
        <f>IF($E$4="",0,IF($S38=0,0,VLOOKUP($S38,'3-1.標準報酬月額・保険料表'!$N$8:$O$57,2,TRUE)))</f>
        <v>200000</v>
      </c>
      <c r="U38" s="621">
        <f t="shared" si="3"/>
        <v>0</v>
      </c>
      <c r="V38" s="611">
        <f t="shared" si="4"/>
        <v>0</v>
      </c>
      <c r="W38" s="612">
        <f t="shared" si="5"/>
        <v>169464.28571428571</v>
      </c>
    </row>
    <row r="39" spans="2:23" ht="21.95" customHeight="1" x14ac:dyDescent="0.15">
      <c r="B39" s="594">
        <v>25</v>
      </c>
      <c r="C39" s="613" t="str">
        <f t="shared" si="0"/>
        <v/>
      </c>
      <c r="D39" s="622" t="str">
        <f t="shared" si="1"/>
        <v/>
      </c>
      <c r="E39" s="597">
        <f t="shared" si="6"/>
        <v>0</v>
      </c>
      <c r="F39" s="625">
        <f t="shared" si="7"/>
        <v>0</v>
      </c>
      <c r="G39" s="625">
        <f t="shared" si="8"/>
        <v>0</v>
      </c>
      <c r="H39" s="623" t="str">
        <f t="shared" si="13"/>
        <v/>
      </c>
      <c r="I39" s="624" t="str">
        <f t="shared" si="14"/>
        <v/>
      </c>
      <c r="J39" s="602" t="str">
        <f t="shared" si="2"/>
        <v/>
      </c>
      <c r="K39" s="601">
        <f t="shared" si="15"/>
        <v>0</v>
      </c>
      <c r="L39" s="602">
        <f t="shared" si="16"/>
        <v>0</v>
      </c>
      <c r="M39" s="617">
        <f t="shared" si="17"/>
        <v>0</v>
      </c>
      <c r="N39" s="604">
        <f t="shared" si="9"/>
        <v>0</v>
      </c>
      <c r="O39" s="618">
        <f t="shared" si="10"/>
        <v>0</v>
      </c>
      <c r="P39" s="606">
        <f>IF($E$4="",0,IF($O39=0,0,VLOOKUP($O39,'3-1.標準報酬月額・保険料表'!$N$8:$O$57,2,TRUE)))</f>
        <v>0</v>
      </c>
      <c r="Q39" s="619">
        <f t="shared" si="11"/>
        <v>0</v>
      </c>
      <c r="R39" s="620">
        <f>IF($E$4="",0,IF($Q39=0,0,VLOOKUP($Q39,'3-1.標準報酬月額・保険料表'!$N$8:$O$57,2,TRUE)))</f>
        <v>0</v>
      </c>
      <c r="S39" s="605">
        <f t="shared" si="12"/>
        <v>0</v>
      </c>
      <c r="T39" s="609">
        <f>IF($E$4="",0,IF($S39=0,0,VLOOKUP($S39,'3-1.標準報酬月額・保険料表'!$N$8:$O$57,2,TRUE)))</f>
        <v>0</v>
      </c>
      <c r="U39" s="621">
        <f t="shared" si="3"/>
        <v>0</v>
      </c>
      <c r="V39" s="611">
        <f t="shared" si="4"/>
        <v>0</v>
      </c>
      <c r="W39" s="612">
        <f t="shared" si="5"/>
        <v>0</v>
      </c>
    </row>
    <row r="40" spans="2:23" ht="21.95" customHeight="1" x14ac:dyDescent="0.15">
      <c r="B40" s="594">
        <v>26</v>
      </c>
      <c r="C40" s="613" t="str">
        <f t="shared" si="0"/>
        <v/>
      </c>
      <c r="D40" s="622" t="str">
        <f t="shared" si="1"/>
        <v/>
      </c>
      <c r="E40" s="597">
        <f t="shared" si="6"/>
        <v>0</v>
      </c>
      <c r="F40" s="625">
        <f t="shared" si="7"/>
        <v>0</v>
      </c>
      <c r="G40" s="625">
        <f t="shared" si="8"/>
        <v>0</v>
      </c>
      <c r="H40" s="623" t="str">
        <f t="shared" si="13"/>
        <v/>
      </c>
      <c r="I40" s="624" t="str">
        <f t="shared" si="14"/>
        <v/>
      </c>
      <c r="J40" s="602" t="str">
        <f t="shared" si="2"/>
        <v/>
      </c>
      <c r="K40" s="601">
        <f t="shared" si="15"/>
        <v>0</v>
      </c>
      <c r="L40" s="602">
        <f t="shared" si="16"/>
        <v>0</v>
      </c>
      <c r="M40" s="617">
        <f t="shared" si="17"/>
        <v>0</v>
      </c>
      <c r="N40" s="604">
        <f t="shared" si="9"/>
        <v>0</v>
      </c>
      <c r="O40" s="618">
        <f t="shared" si="10"/>
        <v>0</v>
      </c>
      <c r="P40" s="606">
        <f>IF($E$4="",0,IF($O40=0,0,VLOOKUP($O40,'3-1.標準報酬月額・保険料表'!$N$8:$O$57,2,TRUE)))</f>
        <v>0</v>
      </c>
      <c r="Q40" s="619">
        <f t="shared" si="11"/>
        <v>0</v>
      </c>
      <c r="R40" s="620">
        <f>IF($E$4="",0,IF($Q40=0,0,VLOOKUP($Q40,'3-1.標準報酬月額・保険料表'!$N$8:$O$57,2,TRUE)))</f>
        <v>0</v>
      </c>
      <c r="S40" s="605">
        <f t="shared" si="12"/>
        <v>0</v>
      </c>
      <c r="T40" s="609">
        <f>IF($E$4="",0,IF($S40=0,0,VLOOKUP($S40,'3-1.標準報酬月額・保険料表'!$N$8:$O$57,2,TRUE)))</f>
        <v>0</v>
      </c>
      <c r="U40" s="621">
        <f t="shared" si="3"/>
        <v>0</v>
      </c>
      <c r="V40" s="611">
        <f t="shared" si="4"/>
        <v>0</v>
      </c>
      <c r="W40" s="612">
        <f t="shared" si="5"/>
        <v>0</v>
      </c>
    </row>
    <row r="41" spans="2:23" ht="21.95" customHeight="1" x14ac:dyDescent="0.15">
      <c r="B41" s="594">
        <v>27</v>
      </c>
      <c r="C41" s="613" t="str">
        <f t="shared" si="0"/>
        <v/>
      </c>
      <c r="D41" s="622" t="str">
        <f t="shared" si="1"/>
        <v/>
      </c>
      <c r="E41" s="597">
        <f t="shared" si="6"/>
        <v>0</v>
      </c>
      <c r="F41" s="625">
        <f t="shared" si="7"/>
        <v>0</v>
      </c>
      <c r="G41" s="625">
        <f t="shared" si="8"/>
        <v>0</v>
      </c>
      <c r="H41" s="623" t="str">
        <f t="shared" si="13"/>
        <v/>
      </c>
      <c r="I41" s="624" t="str">
        <f t="shared" si="14"/>
        <v/>
      </c>
      <c r="J41" s="602" t="str">
        <f t="shared" si="2"/>
        <v/>
      </c>
      <c r="K41" s="601">
        <f t="shared" si="15"/>
        <v>0</v>
      </c>
      <c r="L41" s="602">
        <f t="shared" si="16"/>
        <v>0</v>
      </c>
      <c r="M41" s="617">
        <f t="shared" si="17"/>
        <v>0</v>
      </c>
      <c r="N41" s="604">
        <f t="shared" si="9"/>
        <v>0</v>
      </c>
      <c r="O41" s="618">
        <f t="shared" si="10"/>
        <v>0</v>
      </c>
      <c r="P41" s="606">
        <f>IF($E$4="",0,IF($O41=0,0,VLOOKUP($O41,'3-1.標準報酬月額・保険料表'!$N$8:$O$57,2,TRUE)))</f>
        <v>0</v>
      </c>
      <c r="Q41" s="619">
        <f t="shared" si="11"/>
        <v>0</v>
      </c>
      <c r="R41" s="620">
        <f>IF($E$4="",0,IF($Q41=0,0,VLOOKUP($Q41,'3-1.標準報酬月額・保険料表'!$N$8:$O$57,2,TRUE)))</f>
        <v>0</v>
      </c>
      <c r="S41" s="605">
        <f t="shared" si="12"/>
        <v>0</v>
      </c>
      <c r="T41" s="609">
        <f>IF($E$4="",0,IF($S41=0,0,VLOOKUP($S41,'3-1.標準報酬月額・保険料表'!$N$8:$O$57,2,TRUE)))</f>
        <v>0</v>
      </c>
      <c r="U41" s="621">
        <f t="shared" si="3"/>
        <v>0</v>
      </c>
      <c r="V41" s="611">
        <f t="shared" si="4"/>
        <v>0</v>
      </c>
      <c r="W41" s="612">
        <f t="shared" si="5"/>
        <v>0</v>
      </c>
    </row>
    <row r="42" spans="2:23" ht="21.95" customHeight="1" x14ac:dyDescent="0.15">
      <c r="B42" s="594">
        <v>28</v>
      </c>
      <c r="C42" s="613" t="str">
        <f t="shared" si="0"/>
        <v/>
      </c>
      <c r="D42" s="622" t="str">
        <f t="shared" si="1"/>
        <v/>
      </c>
      <c r="E42" s="597">
        <f t="shared" si="6"/>
        <v>0</v>
      </c>
      <c r="F42" s="625">
        <f t="shared" si="7"/>
        <v>0</v>
      </c>
      <c r="G42" s="625">
        <f t="shared" si="8"/>
        <v>0</v>
      </c>
      <c r="H42" s="623" t="str">
        <f t="shared" si="13"/>
        <v/>
      </c>
      <c r="I42" s="624" t="str">
        <f t="shared" si="14"/>
        <v/>
      </c>
      <c r="J42" s="602" t="str">
        <f t="shared" si="2"/>
        <v/>
      </c>
      <c r="K42" s="601">
        <f t="shared" si="15"/>
        <v>0</v>
      </c>
      <c r="L42" s="602">
        <f t="shared" si="16"/>
        <v>0</v>
      </c>
      <c r="M42" s="617">
        <f t="shared" si="17"/>
        <v>0</v>
      </c>
      <c r="N42" s="604">
        <f t="shared" si="9"/>
        <v>0</v>
      </c>
      <c r="O42" s="618">
        <f t="shared" si="10"/>
        <v>0</v>
      </c>
      <c r="P42" s="606">
        <f>IF($E$4="",0,IF($O42=0,0,VLOOKUP($O42,'3-1.標準報酬月額・保険料表'!$N$8:$O$57,2,TRUE)))</f>
        <v>0</v>
      </c>
      <c r="Q42" s="619">
        <f t="shared" si="11"/>
        <v>0</v>
      </c>
      <c r="R42" s="620">
        <f>IF($E$4="",0,IF($Q42=0,0,VLOOKUP($Q42,'3-1.標準報酬月額・保険料表'!$N$8:$O$57,2,TRUE)))</f>
        <v>0</v>
      </c>
      <c r="S42" s="605">
        <f t="shared" si="12"/>
        <v>0</v>
      </c>
      <c r="T42" s="609">
        <f>IF($E$4="",0,IF($S42=0,0,VLOOKUP($S42,'3-1.標準報酬月額・保険料表'!$N$8:$O$57,2,TRUE)))</f>
        <v>0</v>
      </c>
      <c r="U42" s="621">
        <f t="shared" si="3"/>
        <v>0</v>
      </c>
      <c r="V42" s="611">
        <f t="shared" si="4"/>
        <v>0</v>
      </c>
      <c r="W42" s="612">
        <f t="shared" si="5"/>
        <v>0</v>
      </c>
    </row>
    <row r="43" spans="2:23" ht="21.95" customHeight="1" x14ac:dyDescent="0.15">
      <c r="B43" s="594">
        <v>29</v>
      </c>
      <c r="C43" s="613" t="str">
        <f t="shared" si="0"/>
        <v/>
      </c>
      <c r="D43" s="622" t="str">
        <f t="shared" si="1"/>
        <v/>
      </c>
      <c r="E43" s="597">
        <f t="shared" si="6"/>
        <v>0</v>
      </c>
      <c r="F43" s="625">
        <f t="shared" si="7"/>
        <v>0</v>
      </c>
      <c r="G43" s="625">
        <f t="shared" si="8"/>
        <v>0</v>
      </c>
      <c r="H43" s="623" t="str">
        <f t="shared" si="13"/>
        <v/>
      </c>
      <c r="I43" s="624" t="str">
        <f t="shared" si="14"/>
        <v/>
      </c>
      <c r="J43" s="602" t="str">
        <f t="shared" si="2"/>
        <v/>
      </c>
      <c r="K43" s="601">
        <f t="shared" si="15"/>
        <v>0</v>
      </c>
      <c r="L43" s="602">
        <f t="shared" si="16"/>
        <v>0</v>
      </c>
      <c r="M43" s="617">
        <f t="shared" si="17"/>
        <v>0</v>
      </c>
      <c r="N43" s="604">
        <f t="shared" si="9"/>
        <v>0</v>
      </c>
      <c r="O43" s="618">
        <f t="shared" si="10"/>
        <v>0</v>
      </c>
      <c r="P43" s="606">
        <f>IF($E$4="",0,IF($O43=0,0,VLOOKUP($O43,'3-1.標準報酬月額・保険料表'!$N$8:$O$57,2,TRUE)))</f>
        <v>0</v>
      </c>
      <c r="Q43" s="619">
        <f t="shared" si="11"/>
        <v>0</v>
      </c>
      <c r="R43" s="620">
        <f>IF($E$4="",0,IF($Q43=0,0,VLOOKUP($Q43,'3-1.標準報酬月額・保険料表'!$N$8:$O$57,2,TRUE)))</f>
        <v>0</v>
      </c>
      <c r="S43" s="605">
        <f t="shared" si="12"/>
        <v>0</v>
      </c>
      <c r="T43" s="609">
        <f>IF($E$4="",0,IF($S43=0,0,VLOOKUP($S43,'3-1.標準報酬月額・保険料表'!$N$8:$O$57,2,TRUE)))</f>
        <v>0</v>
      </c>
      <c r="U43" s="621">
        <f t="shared" si="3"/>
        <v>0</v>
      </c>
      <c r="V43" s="611">
        <f t="shared" si="4"/>
        <v>0</v>
      </c>
      <c r="W43" s="612">
        <f t="shared" si="5"/>
        <v>0</v>
      </c>
    </row>
    <row r="44" spans="2:23" ht="21.95" customHeight="1" thickBot="1" x14ac:dyDescent="0.2">
      <c r="B44" s="594">
        <v>30</v>
      </c>
      <c r="C44" s="626" t="str">
        <f t="shared" si="0"/>
        <v/>
      </c>
      <c r="D44" s="627" t="str">
        <f t="shared" si="1"/>
        <v/>
      </c>
      <c r="E44" s="597">
        <f t="shared" si="6"/>
        <v>0</v>
      </c>
      <c r="F44" s="625">
        <f t="shared" si="7"/>
        <v>0</v>
      </c>
      <c r="G44" s="625">
        <f t="shared" si="8"/>
        <v>0</v>
      </c>
      <c r="H44" s="623" t="str">
        <f t="shared" si="13"/>
        <v/>
      </c>
      <c r="I44" s="624" t="str">
        <f t="shared" si="14"/>
        <v/>
      </c>
      <c r="J44" s="602" t="str">
        <f t="shared" si="2"/>
        <v/>
      </c>
      <c r="K44" s="601">
        <f t="shared" si="15"/>
        <v>0</v>
      </c>
      <c r="L44" s="602">
        <f t="shared" si="16"/>
        <v>0</v>
      </c>
      <c r="M44" s="628">
        <f t="shared" si="17"/>
        <v>0</v>
      </c>
      <c r="N44" s="604">
        <f t="shared" si="9"/>
        <v>0</v>
      </c>
      <c r="O44" s="629">
        <f t="shared" si="10"/>
        <v>0</v>
      </c>
      <c r="P44" s="630">
        <f>IF($E$4="",0,IF($O44=0,0,VLOOKUP($O44,'3-1.標準報酬月額・保険料表'!$N$8:$O$57,2,TRUE)))</f>
        <v>0</v>
      </c>
      <c r="Q44" s="631">
        <f t="shared" si="11"/>
        <v>0</v>
      </c>
      <c r="R44" s="632">
        <f>IF($E$4="",0,IF($Q44=0,0,VLOOKUP($Q44,'3-1.標準報酬月額・保険料表'!$N$8:$O$57,2,TRUE)))</f>
        <v>0</v>
      </c>
      <c r="S44" s="633">
        <f t="shared" si="12"/>
        <v>0</v>
      </c>
      <c r="T44" s="634">
        <f>IF($E$4="",0,IF($S44=0,0,VLOOKUP($S44,'3-1.標準報酬月額・保険料表'!$N$8:$O$57,2,TRUE)))</f>
        <v>0</v>
      </c>
      <c r="U44" s="621">
        <f t="shared" si="3"/>
        <v>0</v>
      </c>
      <c r="V44" s="635">
        <f t="shared" si="4"/>
        <v>0</v>
      </c>
      <c r="W44" s="612">
        <f t="shared" si="5"/>
        <v>0</v>
      </c>
    </row>
  </sheetData>
  <sheetProtection algorithmName="SHA-512" hashValue="hq4L+/mkrmEMQ/b5CGebLSKJDFwWcgjFhwYOiblyAHnEEqA2B5A/2F/bPmNkrUDIiP/+rtRgRXZAUteOgM/KZA==" saltValue="6l59YM4p6d5+R2cM1wNixA==" spinCount="100000" sheet="1" objects="1" scenarios="1"/>
  <mergeCells count="14">
    <mergeCell ref="Q13:R13"/>
    <mergeCell ref="S13:T13"/>
    <mergeCell ref="G10:H11"/>
    <mergeCell ref="S10:T10"/>
    <mergeCell ref="S11:T11"/>
    <mergeCell ref="G12:H12"/>
    <mergeCell ref="C5:E5"/>
    <mergeCell ref="M8:N8"/>
    <mergeCell ref="S8:U8"/>
    <mergeCell ref="S9:T9"/>
    <mergeCell ref="M4:M5"/>
    <mergeCell ref="N4:N5"/>
    <mergeCell ref="O4:O5"/>
    <mergeCell ref="P4:P5"/>
  </mergeCells>
  <phoneticPr fontId="3"/>
  <conditionalFormatting sqref="K15:K44">
    <cfRule type="expression" dxfId="11" priority="1">
      <formula>$K15&lt;88000</formula>
    </cfRule>
  </conditionalFormatting>
  <conditionalFormatting sqref="N15:N44">
    <cfRule type="expression" dxfId="10" priority="2">
      <formula>N15&gt;=$M$13</formula>
    </cfRule>
    <cfRule type="expression" dxfId="9" priority="3">
      <formula>N15&gt;=M$12</formula>
    </cfRule>
    <cfRule type="expression" dxfId="8" priority="4">
      <formula>N15&gt;$M$11</formula>
    </cfRule>
    <cfRule type="expression" dxfId="7" priority="5">
      <formula>N15&gt;$M$10</formula>
    </cfRule>
    <cfRule type="expression" dxfId="6" priority="6">
      <formula>N15&lt;=$M$9</formula>
    </cfRule>
  </conditionalFormatting>
  <pageMargins left="0.59055118110236227" right="0.59055118110236227" top="0.78740157480314965" bottom="0.59055118110236227" header="0.51181102362204722" footer="0.51181102362204722"/>
  <pageSetup paperSize="9" scale="70" pageOrder="overThenDown" orientation="landscape" r:id="rId1"/>
  <headerFooter alignWithMargins="0">
    <oddFooter>&amp;C&amp;P</oddFooter>
  </headerFooter>
  <rowBreaks count="1" manualBreakCount="1">
    <brk id="29" max="4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14</vt:i4>
      </vt:variant>
    </vt:vector>
  </HeadingPairs>
  <TitlesOfParts>
    <vt:vector size="27" baseType="lpstr">
      <vt:lpstr>メニューＭＡＰ＆操作手順</vt:lpstr>
      <vt:lpstr>1-1.従業員データ給与改定案入力画面</vt:lpstr>
      <vt:lpstr>2-2.保険料・地方税等入力画面</vt:lpstr>
      <vt:lpstr>４-0.設定 仕様概要</vt:lpstr>
      <vt:lpstr>4-1.手当等支給メニュー</vt:lpstr>
      <vt:lpstr>4-2.手当等支給メニューお知らせ！</vt:lpstr>
      <vt:lpstr>4-3.手当等支給メニュー (３年目or２年目)</vt:lpstr>
      <vt:lpstr>4-4.手当等支給メニューお知らせ！ (３年目or２年目)</vt:lpstr>
      <vt:lpstr>4-1.参照シートー１</vt:lpstr>
      <vt:lpstr>4-1.参照シートー２</vt:lpstr>
      <vt:lpstr>3-1.標準報酬月額・保険料表</vt:lpstr>
      <vt:lpstr>3-2.所得算出参照表</vt:lpstr>
      <vt:lpstr>５.使用上の注意</vt:lpstr>
      <vt:lpstr>'1-1.従業員データ給与改定案入力画面'!Print_Area</vt:lpstr>
      <vt:lpstr>'2-2.保険料・地方税等入力画面'!Print_Area</vt:lpstr>
      <vt:lpstr>'4-1.参照シートー１'!Print_Area</vt:lpstr>
      <vt:lpstr>'4-1.参照シートー２'!Print_Area</vt:lpstr>
      <vt:lpstr>'4-1.手当等支給メニュー'!Print_Area</vt:lpstr>
      <vt:lpstr>'4-2.手当等支給メニューお知らせ！'!Print_Area</vt:lpstr>
      <vt:lpstr>'4-3.手当等支給メニュー (３年目or２年目)'!Print_Area</vt:lpstr>
      <vt:lpstr>'4-4.手当等支給メニューお知らせ！ (３年目or２年目)'!Print_Area</vt:lpstr>
      <vt:lpstr>'５.使用上の注意'!Print_Area</vt:lpstr>
      <vt:lpstr>'メニューＭＡＰ＆操作手順'!Print_Area</vt:lpstr>
      <vt:lpstr>'1-1.従業員データ給与改定案入力画面'!Print_Titles</vt:lpstr>
      <vt:lpstr>'4-2.手当等支給メニューお知らせ！'!Print_Titles</vt:lpstr>
      <vt:lpstr>'4-3.手当等支給メニュー (３年目or２年目)'!Print_Titles</vt:lpstr>
      <vt:lpstr>'4-4.手当等支給メニューお知らせ！ (３年目or２年目)'!Print_Titles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横井人事労務サポート事務所</dc:creator>
  <cp:lastModifiedBy>AKINORI YOKOI</cp:lastModifiedBy>
  <cp:lastPrinted>2023-12-17T06:51:04Z</cp:lastPrinted>
  <dcterms:created xsi:type="dcterms:W3CDTF">2004-10-19T09:01:56Z</dcterms:created>
  <dcterms:modified xsi:type="dcterms:W3CDTF">2024-01-09T01:39:55Z</dcterms:modified>
</cp:coreProperties>
</file>