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24226"/>
  <mc:AlternateContent xmlns:mc="http://schemas.openxmlformats.org/markup-compatibility/2006">
    <mc:Choice Requires="x15">
      <x15ac:absPath xmlns:x15ac="http://schemas.microsoft.com/office/spreadsheetml/2010/11/ac" url="D:\22-2賃金ソフト（保護あり）(Excel2010)2023.7.31\キャリアアップ助成金活用シミュレーションソフト\"/>
    </mc:Choice>
  </mc:AlternateContent>
  <xr:revisionPtr revIDLastSave="0" documentId="13_ncr:1_{43BA27C3-3FE0-4929-859B-60C091970D0B}" xr6:coauthVersionLast="47" xr6:coauthVersionMax="47" xr10:uidLastSave="{00000000-0000-0000-0000-000000000000}"/>
  <bookViews>
    <workbookView xWindow="-120" yWindow="-120" windowWidth="29040" windowHeight="15840" tabRatio="893" xr2:uid="{00000000-000D-0000-FFFF-FFFF00000000}"/>
  </bookViews>
  <sheets>
    <sheet name="メニューＭＡＰ＆操作手順" sheetId="94" r:id="rId1"/>
    <sheet name="1-1.従業員データ給与改定案入力画面" sheetId="100" r:id="rId2"/>
    <sheet name="2-2.保険料・地方税等入力画面" sheetId="17" r:id="rId3"/>
    <sheet name="4-0.設定 仕様概要" sheetId="95" r:id="rId4"/>
    <sheet name="4-1.手当等支給メニュー" sheetId="115" r:id="rId5"/>
    <sheet name="4-2.手当等支給メニューお知らせ！" sheetId="114" r:id="rId6"/>
    <sheet name="5-1.併用メニュー（２年目）" sheetId="126" r:id="rId7"/>
    <sheet name="5-2.併用メニューお知らせ！（２年目）" sheetId="121" r:id="rId8"/>
    <sheet name="4-1.参照シートー１" sheetId="122" r:id="rId9"/>
    <sheet name="4-1.参照シートー２" sheetId="123" r:id="rId10"/>
    <sheet name="3-1.標準報酬月額・保険料表" sheetId="3" r:id="rId11"/>
    <sheet name="3-2.所得算出参照表" sheetId="30" r:id="rId12"/>
    <sheet name="６.使用上の注意" sheetId="20" r:id="rId13"/>
  </sheets>
  <definedNames>
    <definedName name="_xlnm.Print_Area" localSheetId="1">'1-1.従業員データ給与改定案入力画面'!$A$2:$AL$37</definedName>
    <definedName name="_xlnm.Print_Area" localSheetId="2">'2-2.保険料・地方税等入力画面'!$C$2:$Q$35</definedName>
    <definedName name="_xlnm.Print_Area" localSheetId="8">'4-1.参照シートー１'!$A$1:$W$44</definedName>
    <definedName name="_xlnm.Print_Area" localSheetId="9">'4-1.参照シートー２'!$A$1:$W$44</definedName>
    <definedName name="_xlnm.Print_Area" localSheetId="4">'4-1.手当等支給メニュー'!$A$1:$AY$44</definedName>
    <definedName name="_xlnm.Print_Area" localSheetId="5">'4-2.手当等支給メニューお知らせ！'!$B$3:$Q$25</definedName>
    <definedName name="_xlnm.Print_Area" localSheetId="6">'5-1.併用メニュー（２年目）'!$A$1:$AR$44</definedName>
    <definedName name="_xlnm.Print_Area" localSheetId="7">'5-2.併用メニューお知らせ！（２年目）'!$B$3:$P$25</definedName>
    <definedName name="_xlnm.Print_Area" localSheetId="12">'６.使用上の注意'!$B$3:$J$25</definedName>
    <definedName name="_xlnm.Print_Area" localSheetId="0">'メニューＭＡＰ＆操作手順'!$B$1:$AD$237</definedName>
    <definedName name="_xlnm.Print_Titles" localSheetId="1">'1-1.従業員データ給与改定案入力画面'!$C:$C,'1-1.従業員データ給与改定案入力画面'!$8:$9</definedName>
    <definedName name="_xlnm.Print_Titles" localSheetId="8">'4-1.参照シートー１'!#REF!,'4-1.参照シートー１'!$14:$14</definedName>
    <definedName name="_xlnm.Print_Titles" localSheetId="9">'4-1.参照シートー２'!#REF!,'4-1.参照シートー２'!$14:$14</definedName>
    <definedName name="_xlnm.Print_Titles" localSheetId="4">'4-1.手当等支給メニュー'!#REF!,'4-1.手当等支給メニュー'!$14:$14</definedName>
    <definedName name="_xlnm.Print_Titles" localSheetId="5">'4-2.手当等支給メニューお知らせ！'!$B:$B,'4-2.手当等支給メニューお知らせ！'!$9:$9</definedName>
    <definedName name="_xlnm.Print_Titles" localSheetId="6">'5-1.併用メニュー（２年目）'!$C:$C,'5-1.併用メニュー（２年目）'!$14:$14</definedName>
    <definedName name="_xlnm.Print_Titles" localSheetId="7">'5-2.併用メニューお知らせ！（２年目）'!$B:$B,'5-2.併用メニューお知らせ！（２年目）'!$9:$9</definedName>
  </definedNames>
  <calcPr calcId="191029"/>
</workbook>
</file>

<file path=xl/calcChain.xml><?xml version="1.0" encoding="utf-8"?>
<calcChain xmlns="http://schemas.openxmlformats.org/spreadsheetml/2006/main">
  <c r="C13" i="126" l="1"/>
  <c r="D11" i="126"/>
  <c r="D10" i="126"/>
  <c r="D9" i="126"/>
  <c r="D8" i="126"/>
  <c r="D7" i="126"/>
  <c r="Y13" i="115"/>
  <c r="Z13" i="115"/>
  <c r="AE13" i="115"/>
  <c r="AK13" i="126"/>
  <c r="AC13" i="126"/>
  <c r="X13" i="126"/>
  <c r="S13" i="126"/>
  <c r="R13" i="126"/>
  <c r="Y11" i="126"/>
  <c r="O11" i="126"/>
  <c r="W13" i="126" s="1"/>
  <c r="O10" i="126"/>
  <c r="V13" i="126" s="1"/>
  <c r="X7" i="126"/>
  <c r="Y13" i="126" s="1"/>
  <c r="X6" i="126"/>
  <c r="W6" i="126"/>
  <c r="W7" i="126" s="1"/>
  <c r="U6" i="126"/>
  <c r="U7" i="126" s="1"/>
  <c r="T6" i="126"/>
  <c r="T7" i="126" s="1"/>
  <c r="D5" i="121"/>
  <c r="J2" i="126"/>
  <c r="S18" i="121" s="1"/>
  <c r="AC23" i="126" l="1"/>
  <c r="M6" i="126"/>
  <c r="N20" i="126" s="1"/>
  <c r="O20" i="126" s="1"/>
  <c r="AC15" i="126"/>
  <c r="AK27" i="126"/>
  <c r="AC16" i="126"/>
  <c r="O9" i="126"/>
  <c r="U13" i="126" s="1"/>
  <c r="W18" i="126" s="1"/>
  <c r="AC19" i="126"/>
  <c r="AC31" i="126"/>
  <c r="AK16" i="126"/>
  <c r="AK43" i="126"/>
  <c r="AC43" i="126"/>
  <c r="AK35" i="126"/>
  <c r="AC35" i="126"/>
  <c r="AK37" i="126"/>
  <c r="AC37" i="126"/>
  <c r="AK29" i="126"/>
  <c r="AC29" i="126"/>
  <c r="AK42" i="126"/>
  <c r="AC42" i="126"/>
  <c r="AK34" i="126"/>
  <c r="AC34" i="126"/>
  <c r="AK44" i="126"/>
  <c r="AC44" i="126"/>
  <c r="AK36" i="126"/>
  <c r="AC36" i="126"/>
  <c r="AK41" i="126"/>
  <c r="AC41" i="126"/>
  <c r="AK33" i="126"/>
  <c r="AC33" i="126"/>
  <c r="AK40" i="126"/>
  <c r="AK39" i="126"/>
  <c r="AK38" i="126"/>
  <c r="AC30" i="126"/>
  <c r="AK28" i="126"/>
  <c r="AC28" i="126"/>
  <c r="AK20" i="126"/>
  <c r="AC20" i="126"/>
  <c r="AK25" i="126"/>
  <c r="AC25" i="126"/>
  <c r="AK32" i="126"/>
  <c r="AK22" i="126"/>
  <c r="AC22" i="126"/>
  <c r="AK30" i="126"/>
  <c r="AK24" i="126"/>
  <c r="AC24" i="126"/>
  <c r="AK21" i="126"/>
  <c r="AC21" i="126"/>
  <c r="AC32" i="126"/>
  <c r="AK26" i="126"/>
  <c r="AC26" i="126"/>
  <c r="AK23" i="126"/>
  <c r="AK31" i="126"/>
  <c r="C6" i="126"/>
  <c r="F5" i="121" s="1"/>
  <c r="AC17" i="126"/>
  <c r="AK17" i="126"/>
  <c r="AC27" i="126"/>
  <c r="AC39" i="126"/>
  <c r="AK19" i="126"/>
  <c r="AK15" i="126"/>
  <c r="L6" i="126"/>
  <c r="AJ8" i="126"/>
  <c r="AC18" i="126"/>
  <c r="AK18" i="126"/>
  <c r="AC38" i="126"/>
  <c r="AC40" i="126"/>
  <c r="E4" i="123"/>
  <c r="M2" i="123"/>
  <c r="N32" i="126" l="1"/>
  <c r="O32" i="126" s="1"/>
  <c r="N35" i="126"/>
  <c r="O35" i="126" s="1"/>
  <c r="N15" i="126"/>
  <c r="O15" i="126" s="1"/>
  <c r="N38" i="126"/>
  <c r="O38" i="126" s="1"/>
  <c r="N18" i="126"/>
  <c r="O18" i="126" s="1"/>
  <c r="N34" i="126"/>
  <c r="O34" i="126" s="1"/>
  <c r="N40" i="126"/>
  <c r="O40" i="126" s="1"/>
  <c r="N21" i="126"/>
  <c r="O21" i="126" s="1"/>
  <c r="N44" i="126"/>
  <c r="O44" i="126" s="1"/>
  <c r="N16" i="126"/>
  <c r="O16" i="126" s="1"/>
  <c r="N26" i="126"/>
  <c r="O26" i="126" s="1"/>
  <c r="E11" i="123"/>
  <c r="N29" i="126"/>
  <c r="O29" i="126" s="1"/>
  <c r="V22" i="126"/>
  <c r="U18" i="126"/>
  <c r="V38" i="126"/>
  <c r="W41" i="126"/>
  <c r="V36" i="126"/>
  <c r="V15" i="126"/>
  <c r="U27" i="126"/>
  <c r="W42" i="126"/>
  <c r="W27" i="126"/>
  <c r="U21" i="126"/>
  <c r="V18" i="126"/>
  <c r="W26" i="126"/>
  <c r="W17" i="126"/>
  <c r="U32" i="126"/>
  <c r="V25" i="126"/>
  <c r="U33" i="126"/>
  <c r="W39" i="126"/>
  <c r="W38" i="126"/>
  <c r="V30" i="126"/>
  <c r="V19" i="126"/>
  <c r="W22" i="126"/>
  <c r="U39" i="126"/>
  <c r="W21" i="126"/>
  <c r="W24" i="126"/>
  <c r="U15" i="126"/>
  <c r="U34" i="126"/>
  <c r="V37" i="126"/>
  <c r="V24" i="126"/>
  <c r="W25" i="126"/>
  <c r="V26" i="126"/>
  <c r="Q13" i="126"/>
  <c r="V23" i="126"/>
  <c r="W16" i="126"/>
  <c r="W33" i="126"/>
  <c r="W30" i="126"/>
  <c r="U25" i="126"/>
  <c r="V28" i="126"/>
  <c r="W28" i="126"/>
  <c r="U42" i="126"/>
  <c r="N31" i="126"/>
  <c r="O31" i="126" s="1"/>
  <c r="N39" i="126"/>
  <c r="O39" i="126" s="1"/>
  <c r="W31" i="126"/>
  <c r="N42" i="126"/>
  <c r="O42" i="126" s="1"/>
  <c r="V43" i="126"/>
  <c r="N19" i="126"/>
  <c r="O19" i="126" s="1"/>
  <c r="W34" i="126"/>
  <c r="V16" i="126"/>
  <c r="W20" i="126"/>
  <c r="U28" i="126"/>
  <c r="W35" i="126"/>
  <c r="U22" i="126"/>
  <c r="U23" i="126"/>
  <c r="N30" i="126"/>
  <c r="O30" i="126" s="1"/>
  <c r="N23" i="126"/>
  <c r="O23" i="126" s="1"/>
  <c r="W23" i="126"/>
  <c r="U31" i="126"/>
  <c r="V31" i="126"/>
  <c r="V39" i="126"/>
  <c r="W37" i="126"/>
  <c r="U30" i="126"/>
  <c r="N33" i="126"/>
  <c r="O33" i="126" s="1"/>
  <c r="V29" i="126"/>
  <c r="V34" i="126"/>
  <c r="W29" i="126"/>
  <c r="V35" i="126"/>
  <c r="N25" i="126"/>
  <c r="O25" i="126" s="1"/>
  <c r="W15" i="126"/>
  <c r="V20" i="126"/>
  <c r="U20" i="126"/>
  <c r="W43" i="126"/>
  <c r="N27" i="126"/>
  <c r="O27" i="126" s="1"/>
  <c r="U29" i="126"/>
  <c r="N36" i="126"/>
  <c r="O36" i="126" s="1"/>
  <c r="U26" i="126"/>
  <c r="U43" i="126"/>
  <c r="N17" i="126"/>
  <c r="O17" i="126" s="1"/>
  <c r="U40" i="126"/>
  <c r="U19" i="126"/>
  <c r="U41" i="126"/>
  <c r="N24" i="126"/>
  <c r="O24" i="126" s="1"/>
  <c r="V44" i="126"/>
  <c r="V27" i="126"/>
  <c r="N22" i="126"/>
  <c r="O22" i="126" s="1"/>
  <c r="N28" i="126"/>
  <c r="O28" i="126" s="1"/>
  <c r="N37" i="126"/>
  <c r="O37" i="126" s="1"/>
  <c r="W36" i="126"/>
  <c r="W44" i="126"/>
  <c r="U37" i="126"/>
  <c r="U38" i="126"/>
  <c r="N41" i="126"/>
  <c r="O41" i="126" s="1"/>
  <c r="U24" i="126"/>
  <c r="U35" i="126"/>
  <c r="N43" i="126"/>
  <c r="O43" i="126" s="1"/>
  <c r="W19" i="126"/>
  <c r="V42" i="126"/>
  <c r="U16" i="126"/>
  <c r="V21" i="126"/>
  <c r="V33" i="126"/>
  <c r="V41" i="126"/>
  <c r="U17" i="126"/>
  <c r="V32" i="126"/>
  <c r="V40" i="126"/>
  <c r="V17" i="126"/>
  <c r="W32" i="126"/>
  <c r="W40" i="126"/>
  <c r="U36" i="126"/>
  <c r="U44" i="126"/>
  <c r="AO10" i="126"/>
  <c r="AM10" i="126"/>
  <c r="AM7" i="126"/>
  <c r="AL10" i="126"/>
  <c r="AL7" i="126"/>
  <c r="AN10" i="126"/>
  <c r="O6" i="123"/>
  <c r="C13" i="123"/>
  <c r="E7" i="123"/>
  <c r="P6" i="123"/>
  <c r="U35" i="123" s="1"/>
  <c r="V35" i="123" s="1"/>
  <c r="E8" i="123"/>
  <c r="C6" i="123"/>
  <c r="E10" i="123"/>
  <c r="E9" i="123"/>
  <c r="X16" i="126" l="1"/>
  <c r="X36" i="126"/>
  <c r="X38" i="126"/>
  <c r="X30" i="126"/>
  <c r="X31" i="126"/>
  <c r="X18" i="126"/>
  <c r="X22" i="126"/>
  <c r="X34" i="126"/>
  <c r="X43" i="126"/>
  <c r="X42" i="126"/>
  <c r="X25" i="126"/>
  <c r="X37" i="126"/>
  <c r="X33" i="126"/>
  <c r="X15" i="126"/>
  <c r="X20" i="126"/>
  <c r="X27" i="126"/>
  <c r="X21" i="126"/>
  <c r="X28" i="126"/>
  <c r="X39" i="126"/>
  <c r="X17" i="126"/>
  <c r="X23" i="126"/>
  <c r="X26" i="126"/>
  <c r="X41" i="126"/>
  <c r="X29" i="126"/>
  <c r="X24" i="126"/>
  <c r="X19" i="126"/>
  <c r="X32" i="126"/>
  <c r="X40" i="126"/>
  <c r="X35" i="126"/>
  <c r="X44" i="126"/>
  <c r="AM13" i="126"/>
  <c r="AN13" i="126"/>
  <c r="AO13" i="126"/>
  <c r="I15" i="123"/>
  <c r="U25" i="123"/>
  <c r="V25" i="123" s="1"/>
  <c r="U36" i="123"/>
  <c r="V36" i="123" s="1"/>
  <c r="U27" i="123"/>
  <c r="V27" i="123" s="1"/>
  <c r="U42" i="123"/>
  <c r="V42" i="123" s="1"/>
  <c r="U28" i="123"/>
  <c r="V28" i="123" s="1"/>
  <c r="U39" i="123"/>
  <c r="V39" i="123" s="1"/>
  <c r="U18" i="123"/>
  <c r="V18" i="123" s="1"/>
  <c r="U26" i="123"/>
  <c r="V26" i="123" s="1"/>
  <c r="U40" i="123"/>
  <c r="V40" i="123" s="1"/>
  <c r="U43" i="123"/>
  <c r="V43" i="123" s="1"/>
  <c r="U21" i="123"/>
  <c r="V21" i="123" s="1"/>
  <c r="U32" i="123"/>
  <c r="V32" i="123" s="1"/>
  <c r="U41" i="123"/>
  <c r="V41" i="123" s="1"/>
  <c r="U20" i="123"/>
  <c r="V20" i="123" s="1"/>
  <c r="U24" i="123"/>
  <c r="V24" i="123" s="1"/>
  <c r="U34" i="123"/>
  <c r="V34" i="123" s="1"/>
  <c r="U15" i="123"/>
  <c r="V15" i="123" s="1"/>
  <c r="U23" i="123"/>
  <c r="V23" i="123" s="1"/>
  <c r="U22" i="123"/>
  <c r="V22" i="123" s="1"/>
  <c r="U31" i="123"/>
  <c r="V31" i="123" s="1"/>
  <c r="U29" i="123"/>
  <c r="V29" i="123" s="1"/>
  <c r="U30" i="123"/>
  <c r="V30" i="123" s="1"/>
  <c r="U33" i="123"/>
  <c r="V33" i="123" s="1"/>
  <c r="U19" i="123"/>
  <c r="V19" i="123" s="1"/>
  <c r="U17" i="123"/>
  <c r="V17" i="123" s="1"/>
  <c r="U38" i="123"/>
  <c r="V38" i="123" s="1"/>
  <c r="U16" i="123"/>
  <c r="V16" i="123" s="1"/>
  <c r="U44" i="123"/>
  <c r="V44" i="123" s="1"/>
  <c r="U37" i="123"/>
  <c r="V37" i="123" s="1"/>
  <c r="C15" i="123"/>
  <c r="H16" i="123" l="1"/>
  <c r="I16" i="123" s="1"/>
  <c r="J15" i="123"/>
  <c r="K15" i="123" s="1"/>
  <c r="W15" i="123" l="1"/>
  <c r="C16" i="123"/>
  <c r="D15" i="123"/>
  <c r="H17" i="123"/>
  <c r="J16" i="123"/>
  <c r="K16" i="123" l="1"/>
  <c r="D16" i="123" s="1"/>
  <c r="C17" i="123"/>
  <c r="I17" i="123"/>
  <c r="W16" i="123" l="1"/>
  <c r="H18" i="123"/>
  <c r="J17" i="123"/>
  <c r="K17" i="123" s="1"/>
  <c r="C18" i="123" l="1"/>
  <c r="I18" i="123"/>
  <c r="D17" i="123"/>
  <c r="W17" i="123"/>
  <c r="H19" i="123" l="1"/>
  <c r="J18" i="123"/>
  <c r="K18" i="123" s="1"/>
  <c r="I19" i="123" l="1"/>
  <c r="C19" i="123"/>
  <c r="W18" i="123"/>
  <c r="D18" i="123"/>
  <c r="H20" i="123" l="1"/>
  <c r="J19" i="123"/>
  <c r="K19" i="123" s="1"/>
  <c r="C20" i="123" l="1"/>
  <c r="I20" i="123"/>
  <c r="W19" i="123"/>
  <c r="D19" i="123"/>
  <c r="H21" i="123" l="1"/>
  <c r="J20" i="123"/>
  <c r="K20" i="123" s="1"/>
  <c r="I21" i="123" l="1"/>
  <c r="C21" i="123"/>
  <c r="D20" i="123"/>
  <c r="W20" i="123"/>
  <c r="H22" i="123" l="1"/>
  <c r="J21" i="123"/>
  <c r="K21" i="123" s="1"/>
  <c r="C22" i="123" l="1"/>
  <c r="I22" i="123"/>
  <c r="W21" i="123"/>
  <c r="D21" i="123"/>
  <c r="H23" i="123" l="1"/>
  <c r="J22" i="123"/>
  <c r="K22" i="123" s="1"/>
  <c r="C23" i="123" l="1"/>
  <c r="I23" i="123"/>
  <c r="W22" i="123"/>
  <c r="D22" i="123"/>
  <c r="H24" i="123" l="1"/>
  <c r="J23" i="123"/>
  <c r="K23" i="123" s="1"/>
  <c r="C24" i="123" l="1"/>
  <c r="I24" i="123"/>
  <c r="D23" i="123"/>
  <c r="W23" i="123"/>
  <c r="H25" i="123" l="1"/>
  <c r="J24" i="123"/>
  <c r="K24" i="123" s="1"/>
  <c r="I25" i="123" l="1"/>
  <c r="C25" i="123"/>
  <c r="D24" i="123"/>
  <c r="W24" i="123"/>
  <c r="H26" i="123" l="1"/>
  <c r="J25" i="123"/>
  <c r="K25" i="123" s="1"/>
  <c r="C26" i="123" l="1"/>
  <c r="I26" i="123"/>
  <c r="W25" i="123"/>
  <c r="D25" i="123"/>
  <c r="H27" i="123" l="1"/>
  <c r="J26" i="123"/>
  <c r="K26" i="123" s="1"/>
  <c r="C27" i="123" l="1"/>
  <c r="I27" i="123"/>
  <c r="W26" i="123"/>
  <c r="D26" i="123"/>
  <c r="H28" i="123" l="1"/>
  <c r="J27" i="123"/>
  <c r="K27" i="123" s="1"/>
  <c r="D27" i="123" l="1"/>
  <c r="W27" i="123"/>
  <c r="C28" i="123"/>
  <c r="I28" i="123"/>
  <c r="H29" i="123" l="1"/>
  <c r="J28" i="123"/>
  <c r="K28" i="123" s="1"/>
  <c r="I29" i="123" l="1"/>
  <c r="C29" i="123"/>
  <c r="D28" i="123"/>
  <c r="W28" i="123"/>
  <c r="H30" i="123" l="1"/>
  <c r="J29" i="123"/>
  <c r="K29" i="123" s="1"/>
  <c r="I30" i="123" l="1"/>
  <c r="C30" i="123"/>
  <c r="W29" i="123"/>
  <c r="D29" i="123"/>
  <c r="H31" i="123" l="1"/>
  <c r="J30" i="123"/>
  <c r="K30" i="123" s="1"/>
  <c r="C31" i="123" l="1"/>
  <c r="I31" i="123"/>
  <c r="W30" i="123"/>
  <c r="D30" i="123"/>
  <c r="H32" i="123" l="1"/>
  <c r="J31" i="123"/>
  <c r="K31" i="123" s="1"/>
  <c r="W31" i="123" l="1"/>
  <c r="D31" i="123"/>
  <c r="C32" i="123"/>
  <c r="I32" i="123"/>
  <c r="H33" i="123" l="1"/>
  <c r="J32" i="123"/>
  <c r="K32" i="123" s="1"/>
  <c r="D32" i="123" l="1"/>
  <c r="W32" i="123"/>
  <c r="I33" i="123"/>
  <c r="C33" i="123"/>
  <c r="H34" i="123" l="1"/>
  <c r="J33" i="123"/>
  <c r="K33" i="123" s="1"/>
  <c r="C34" i="123" l="1"/>
  <c r="I34" i="123"/>
  <c r="W33" i="123"/>
  <c r="D33" i="123"/>
  <c r="H35" i="123" l="1"/>
  <c r="J34" i="123"/>
  <c r="K34" i="123" s="1"/>
  <c r="C35" i="123" l="1"/>
  <c r="I35" i="123"/>
  <c r="W34" i="123"/>
  <c r="D34" i="123"/>
  <c r="H36" i="123" l="1"/>
  <c r="J35" i="123"/>
  <c r="K35" i="123" s="1"/>
  <c r="C36" i="123" l="1"/>
  <c r="I36" i="123"/>
  <c r="D35" i="123"/>
  <c r="W35" i="123"/>
  <c r="H37" i="123" l="1"/>
  <c r="J36" i="123"/>
  <c r="K36" i="123" s="1"/>
  <c r="D36" i="123" l="1"/>
  <c r="W36" i="123"/>
  <c r="I37" i="123"/>
  <c r="C37" i="123"/>
  <c r="H38" i="123" l="1"/>
  <c r="J37" i="123"/>
  <c r="K37" i="123" s="1"/>
  <c r="C38" i="123" l="1"/>
  <c r="I38" i="123"/>
  <c r="W37" i="123"/>
  <c r="D37" i="123"/>
  <c r="H39" i="123" l="1"/>
  <c r="J38" i="123"/>
  <c r="K38" i="123" s="1"/>
  <c r="W38" i="123" l="1"/>
  <c r="D38" i="123"/>
  <c r="C39" i="123"/>
  <c r="I39" i="123"/>
  <c r="H40" i="123" l="1"/>
  <c r="J39" i="123"/>
  <c r="K39" i="123" s="1"/>
  <c r="C40" i="123" l="1"/>
  <c r="I40" i="123"/>
  <c r="D39" i="123"/>
  <c r="S39" i="123"/>
  <c r="T39" i="123" s="1"/>
  <c r="O39" i="123"/>
  <c r="P39" i="123" s="1"/>
  <c r="W39" i="123"/>
  <c r="H41" i="123" l="1"/>
  <c r="J40" i="123"/>
  <c r="K40" i="123" s="1"/>
  <c r="I41" i="123" l="1"/>
  <c r="C41" i="123"/>
  <c r="D40" i="123"/>
  <c r="S40" i="123"/>
  <c r="T40" i="123" s="1"/>
  <c r="W40" i="123"/>
  <c r="O40" i="123"/>
  <c r="P40" i="123" s="1"/>
  <c r="H42" i="123" l="1"/>
  <c r="J41" i="123"/>
  <c r="K41" i="123" s="1"/>
  <c r="C42" i="123" l="1"/>
  <c r="I42" i="123"/>
  <c r="W41" i="123"/>
  <c r="O41" i="123"/>
  <c r="P41" i="123" s="1"/>
  <c r="D41" i="123"/>
  <c r="S41" i="123"/>
  <c r="T41" i="123" s="1"/>
  <c r="H43" i="123" l="1"/>
  <c r="J42" i="123"/>
  <c r="K42" i="123" s="1"/>
  <c r="C43" i="123" l="1"/>
  <c r="I43" i="123"/>
  <c r="W42" i="123"/>
  <c r="O42" i="123"/>
  <c r="P42" i="123" s="1"/>
  <c r="D42" i="123"/>
  <c r="S42" i="123"/>
  <c r="T42" i="123" s="1"/>
  <c r="H44" i="123" l="1"/>
  <c r="J43" i="123"/>
  <c r="K43" i="123" s="1"/>
  <c r="C44" i="123" l="1"/>
  <c r="I44" i="123"/>
  <c r="D43" i="123"/>
  <c r="S43" i="123"/>
  <c r="T43" i="123" s="1"/>
  <c r="W43" i="123"/>
  <c r="O43" i="123"/>
  <c r="P43" i="123" s="1"/>
  <c r="J44" i="123" l="1"/>
  <c r="K44" i="123" s="1"/>
  <c r="D44" i="123" l="1"/>
  <c r="S44" i="123"/>
  <c r="T44" i="123" s="1"/>
  <c r="W44" i="123"/>
  <c r="O44" i="123"/>
  <c r="P44" i="123" s="1"/>
  <c r="E4" i="122" l="1"/>
  <c r="M2" i="122"/>
  <c r="E8" i="115"/>
  <c r="K2" i="115"/>
  <c r="U9" i="115" l="1"/>
  <c r="U9" i="123" s="1"/>
  <c r="T18" i="114"/>
  <c r="D7" i="121"/>
  <c r="E11" i="122"/>
  <c r="U9" i="122"/>
  <c r="O6" i="122"/>
  <c r="P6" i="122"/>
  <c r="U17" i="122" s="1"/>
  <c r="V17" i="122" s="1"/>
  <c r="E8" i="122"/>
  <c r="C13" i="122"/>
  <c r="C6" i="122"/>
  <c r="E9" i="122"/>
  <c r="E10" i="122"/>
  <c r="E7" i="122"/>
  <c r="AB13" i="115" l="1"/>
  <c r="AB15" i="115" s="1"/>
  <c r="U36" i="122"/>
  <c r="V36" i="122" s="1"/>
  <c r="U32" i="122"/>
  <c r="V32" i="122" s="1"/>
  <c r="U22" i="122"/>
  <c r="V22" i="122" s="1"/>
  <c r="U33" i="122"/>
  <c r="V33" i="122" s="1"/>
  <c r="U41" i="122"/>
  <c r="V41" i="122" s="1"/>
  <c r="U18" i="122"/>
  <c r="V18" i="122" s="1"/>
  <c r="U42" i="122"/>
  <c r="V42" i="122" s="1"/>
  <c r="U29" i="122"/>
  <c r="V29" i="122" s="1"/>
  <c r="U39" i="122"/>
  <c r="V39" i="122" s="1"/>
  <c r="U40" i="122"/>
  <c r="V40" i="122" s="1"/>
  <c r="U26" i="122"/>
  <c r="V26" i="122" s="1"/>
  <c r="U20" i="122"/>
  <c r="V20" i="122" s="1"/>
  <c r="U27" i="122"/>
  <c r="V27" i="122" s="1"/>
  <c r="U21" i="122"/>
  <c r="V21" i="122" s="1"/>
  <c r="U31" i="122"/>
  <c r="V31" i="122" s="1"/>
  <c r="U23" i="122"/>
  <c r="V23" i="122" s="1"/>
  <c r="U28" i="122"/>
  <c r="V28" i="122" s="1"/>
  <c r="U37" i="122"/>
  <c r="V37" i="122" s="1"/>
  <c r="U16" i="122"/>
  <c r="V16" i="122" s="1"/>
  <c r="U30" i="122"/>
  <c r="V30" i="122" s="1"/>
  <c r="U34" i="122"/>
  <c r="V34" i="122" s="1"/>
  <c r="C15" i="122"/>
  <c r="I15" i="122"/>
  <c r="U25" i="122"/>
  <c r="V25" i="122" s="1"/>
  <c r="U44" i="122"/>
  <c r="V44" i="122" s="1"/>
  <c r="U38" i="122"/>
  <c r="V38" i="122" s="1"/>
  <c r="U24" i="122"/>
  <c r="V24" i="122" s="1"/>
  <c r="U35" i="122"/>
  <c r="V35" i="122" s="1"/>
  <c r="U19" i="122"/>
  <c r="V19" i="122" s="1"/>
  <c r="U43" i="122"/>
  <c r="V43" i="122" s="1"/>
  <c r="U15" i="122"/>
  <c r="V15" i="122" s="1"/>
  <c r="D5" i="114"/>
  <c r="U10" i="115"/>
  <c r="AC13" i="115" s="1"/>
  <c r="U11" i="115"/>
  <c r="AD13" i="115" s="1"/>
  <c r="J15" i="122" l="1"/>
  <c r="K15" i="122"/>
  <c r="D15" i="122" s="1"/>
  <c r="H16" i="122"/>
  <c r="I16" i="122" s="1"/>
  <c r="U10" i="122"/>
  <c r="U10" i="123"/>
  <c r="U11" i="122"/>
  <c r="U11" i="123"/>
  <c r="W15" i="122" l="1"/>
  <c r="C16" i="122"/>
  <c r="H17" i="122"/>
  <c r="J16" i="122"/>
  <c r="C13" i="115"/>
  <c r="F7" i="121" s="1"/>
  <c r="AR13" i="115"/>
  <c r="AJ13" i="115"/>
  <c r="AF11" i="115"/>
  <c r="E11" i="115"/>
  <c r="E9" i="115"/>
  <c r="AQ8" i="115"/>
  <c r="AV10" i="115" s="1"/>
  <c r="D7" i="114"/>
  <c r="AE7" i="115"/>
  <c r="AF13" i="115" s="1"/>
  <c r="E7" i="115"/>
  <c r="AE6" i="115"/>
  <c r="AD6" i="115"/>
  <c r="AD7" i="115" s="1"/>
  <c r="AB6" i="115"/>
  <c r="AB7" i="115" s="1"/>
  <c r="AA6" i="115"/>
  <c r="AA7" i="115" s="1"/>
  <c r="C6" i="115"/>
  <c r="F5" i="114" s="1"/>
  <c r="AR42" i="115" l="1"/>
  <c r="AR38" i="115"/>
  <c r="AR34" i="115"/>
  <c r="AR30" i="115"/>
  <c r="AR26" i="115"/>
  <c r="AR22" i="115"/>
  <c r="AR18" i="115"/>
  <c r="AR36" i="115"/>
  <c r="AR20" i="115"/>
  <c r="AR23" i="115"/>
  <c r="AR44" i="115"/>
  <c r="AR24" i="115"/>
  <c r="AR27" i="115"/>
  <c r="AR41" i="115"/>
  <c r="AR37" i="115"/>
  <c r="AR33" i="115"/>
  <c r="AR29" i="115"/>
  <c r="AR25" i="115"/>
  <c r="AR21" i="115"/>
  <c r="AR17" i="115"/>
  <c r="AR32" i="115"/>
  <c r="AR31" i="115"/>
  <c r="AR40" i="115"/>
  <c r="AR28" i="115"/>
  <c r="AR16" i="115"/>
  <c r="AR19" i="115"/>
  <c r="AR43" i="115"/>
  <c r="AR39" i="115"/>
  <c r="AR35" i="115"/>
  <c r="AJ43" i="115"/>
  <c r="AJ42" i="115"/>
  <c r="AJ38" i="115"/>
  <c r="AJ34" i="115"/>
  <c r="AJ30" i="115"/>
  <c r="AJ26" i="115"/>
  <c r="AJ22" i="115"/>
  <c r="AJ18" i="115"/>
  <c r="AJ35" i="115"/>
  <c r="AJ19" i="115"/>
  <c r="AJ41" i="115"/>
  <c r="AJ37" i="115"/>
  <c r="AJ33" i="115"/>
  <c r="AJ29" i="115"/>
  <c r="AJ25" i="115"/>
  <c r="AJ21" i="115"/>
  <c r="AJ17" i="115"/>
  <c r="AJ31" i="115"/>
  <c r="AJ23" i="115"/>
  <c r="AJ44" i="115"/>
  <c r="AJ40" i="115"/>
  <c r="AJ36" i="115"/>
  <c r="AJ32" i="115"/>
  <c r="AJ28" i="115"/>
  <c r="AJ24" i="115"/>
  <c r="AJ20" i="115"/>
  <c r="AJ16" i="115"/>
  <c r="AJ39" i="115"/>
  <c r="AJ27" i="115"/>
  <c r="C15" i="115"/>
  <c r="C11" i="114" s="1"/>
  <c r="F6" i="121"/>
  <c r="F6" i="114"/>
  <c r="F7" i="114"/>
  <c r="K16" i="122"/>
  <c r="D16" i="122" s="1"/>
  <c r="D6" i="114"/>
  <c r="I17" i="122"/>
  <c r="C17" i="122"/>
  <c r="I15" i="115"/>
  <c r="AJ15" i="115"/>
  <c r="AS7" i="115"/>
  <c r="AS10" i="115"/>
  <c r="AR15" i="115"/>
  <c r="AT7" i="115"/>
  <c r="AT10" i="115"/>
  <c r="AU10" i="115"/>
  <c r="D6" i="121" l="1"/>
  <c r="G15" i="126"/>
  <c r="W16" i="122"/>
  <c r="H16" i="115"/>
  <c r="H18" i="122"/>
  <c r="J17" i="122"/>
  <c r="K17" i="122" s="1"/>
  <c r="J15" i="115"/>
  <c r="K15" i="115" s="1"/>
  <c r="AV13" i="115"/>
  <c r="AU13" i="115"/>
  <c r="AT13" i="115"/>
  <c r="X13" i="115"/>
  <c r="A16" i="100"/>
  <c r="AL10" i="100"/>
  <c r="I22" i="17"/>
  <c r="I21" i="17"/>
  <c r="I20" i="17"/>
  <c r="S11" i="100"/>
  <c r="S10" i="100"/>
  <c r="S109" i="100"/>
  <c r="S108" i="100"/>
  <c r="S107" i="100"/>
  <c r="S106" i="100"/>
  <c r="S105" i="100"/>
  <c r="S104" i="100"/>
  <c r="S103" i="100"/>
  <c r="S102" i="100"/>
  <c r="S101" i="100"/>
  <c r="S100" i="100"/>
  <c r="S99" i="100"/>
  <c r="S98" i="100"/>
  <c r="S97" i="100"/>
  <c r="S96" i="100"/>
  <c r="S95" i="100"/>
  <c r="S94" i="100"/>
  <c r="S93" i="100"/>
  <c r="S92" i="100"/>
  <c r="S91" i="100"/>
  <c r="S90" i="100"/>
  <c r="S89" i="100"/>
  <c r="S88" i="100"/>
  <c r="S87" i="100"/>
  <c r="S86" i="100"/>
  <c r="S85" i="100"/>
  <c r="S84" i="100"/>
  <c r="S83" i="100"/>
  <c r="S82" i="100"/>
  <c r="S81" i="100"/>
  <c r="S80" i="100"/>
  <c r="S79" i="100"/>
  <c r="S78" i="100"/>
  <c r="S77" i="100"/>
  <c r="S76" i="100"/>
  <c r="S75" i="100"/>
  <c r="S74" i="100"/>
  <c r="S73" i="100"/>
  <c r="S72" i="100"/>
  <c r="S71" i="100"/>
  <c r="S70" i="100"/>
  <c r="S69" i="100"/>
  <c r="S68" i="100"/>
  <c r="S67" i="100"/>
  <c r="S66" i="100"/>
  <c r="S65" i="100"/>
  <c r="S64" i="100"/>
  <c r="S63" i="100"/>
  <c r="S62" i="100"/>
  <c r="S61" i="100"/>
  <c r="S60" i="100"/>
  <c r="S59" i="100"/>
  <c r="S58" i="100"/>
  <c r="S57" i="100"/>
  <c r="S56" i="100"/>
  <c r="S55" i="100"/>
  <c r="S54" i="100"/>
  <c r="S53" i="100"/>
  <c r="S52" i="100"/>
  <c r="S51" i="100"/>
  <c r="S50" i="100"/>
  <c r="S49" i="100"/>
  <c r="S48" i="100"/>
  <c r="S47" i="100"/>
  <c r="S46" i="100"/>
  <c r="S45" i="100"/>
  <c r="S44" i="100"/>
  <c r="S43" i="100"/>
  <c r="S42" i="100"/>
  <c r="S41" i="100"/>
  <c r="S40" i="100"/>
  <c r="S39" i="100"/>
  <c r="S38" i="100"/>
  <c r="S37" i="100"/>
  <c r="S36" i="100"/>
  <c r="S35" i="100"/>
  <c r="S34" i="100"/>
  <c r="S33" i="100"/>
  <c r="S32" i="100"/>
  <c r="S31" i="100"/>
  <c r="S30" i="100"/>
  <c r="S29" i="100"/>
  <c r="S28" i="100"/>
  <c r="S27" i="100"/>
  <c r="S26" i="100"/>
  <c r="S25" i="100"/>
  <c r="S24" i="100"/>
  <c r="S23" i="100"/>
  <c r="S22" i="100"/>
  <c r="S21" i="100"/>
  <c r="S20" i="100"/>
  <c r="S19" i="100"/>
  <c r="S18" i="100"/>
  <c r="S17" i="100"/>
  <c r="S16" i="100"/>
  <c r="S15" i="100"/>
  <c r="S14" i="100"/>
  <c r="S13" i="100"/>
  <c r="S12" i="100"/>
  <c r="O10" i="100"/>
  <c r="O11" i="100"/>
  <c r="O16" i="100"/>
  <c r="P16" i="100" s="1"/>
  <c r="O15" i="100"/>
  <c r="P15" i="100" s="1"/>
  <c r="O14" i="100"/>
  <c r="P14" i="100" s="1"/>
  <c r="O13" i="100"/>
  <c r="P13" i="100" s="1"/>
  <c r="O12" i="100"/>
  <c r="P12" i="100" s="1"/>
  <c r="P11" i="100"/>
  <c r="P10" i="100"/>
  <c r="T10" i="100" s="1"/>
  <c r="O109" i="100"/>
  <c r="P109" i="100" s="1"/>
  <c r="O108" i="100"/>
  <c r="P108" i="100" s="1"/>
  <c r="O107" i="100"/>
  <c r="P107" i="100" s="1"/>
  <c r="O106" i="100"/>
  <c r="P106" i="100" s="1"/>
  <c r="O105" i="100"/>
  <c r="P105" i="100" s="1"/>
  <c r="O104" i="100"/>
  <c r="P104" i="100" s="1"/>
  <c r="O103" i="100"/>
  <c r="P103" i="100" s="1"/>
  <c r="O102" i="100"/>
  <c r="P102" i="100" s="1"/>
  <c r="O101" i="100"/>
  <c r="P101" i="100" s="1"/>
  <c r="O100" i="100"/>
  <c r="P100" i="100" s="1"/>
  <c r="O99" i="100"/>
  <c r="P99" i="100" s="1"/>
  <c r="O98" i="100"/>
  <c r="P98" i="100" s="1"/>
  <c r="O97" i="100"/>
  <c r="P97" i="100" s="1"/>
  <c r="O96" i="100"/>
  <c r="P96" i="100" s="1"/>
  <c r="O95" i="100"/>
  <c r="P95" i="100" s="1"/>
  <c r="O94" i="100"/>
  <c r="P94" i="100" s="1"/>
  <c r="O93" i="100"/>
  <c r="P93" i="100" s="1"/>
  <c r="O92" i="100"/>
  <c r="P92" i="100" s="1"/>
  <c r="O91" i="100"/>
  <c r="P91" i="100" s="1"/>
  <c r="O90" i="100"/>
  <c r="P90" i="100" s="1"/>
  <c r="O89" i="100"/>
  <c r="P89" i="100" s="1"/>
  <c r="O88" i="100"/>
  <c r="P88" i="100" s="1"/>
  <c r="O87" i="100"/>
  <c r="P87" i="100" s="1"/>
  <c r="O86" i="100"/>
  <c r="P86" i="100" s="1"/>
  <c r="O85" i="100"/>
  <c r="P85" i="100" s="1"/>
  <c r="O84" i="100"/>
  <c r="P84" i="100" s="1"/>
  <c r="O83" i="100"/>
  <c r="P83" i="100" s="1"/>
  <c r="O82" i="100"/>
  <c r="P82" i="100" s="1"/>
  <c r="O81" i="100"/>
  <c r="P81" i="100" s="1"/>
  <c r="O80" i="100"/>
  <c r="P80" i="100" s="1"/>
  <c r="O79" i="100"/>
  <c r="P79" i="100" s="1"/>
  <c r="O78" i="100"/>
  <c r="P78" i="100" s="1"/>
  <c r="O77" i="100"/>
  <c r="P77" i="100" s="1"/>
  <c r="O76" i="100"/>
  <c r="P76" i="100" s="1"/>
  <c r="O75" i="100"/>
  <c r="P75" i="100" s="1"/>
  <c r="O74" i="100"/>
  <c r="P74" i="100" s="1"/>
  <c r="O73" i="100"/>
  <c r="P73" i="100" s="1"/>
  <c r="O72" i="100"/>
  <c r="P72" i="100" s="1"/>
  <c r="O71" i="100"/>
  <c r="P71" i="100" s="1"/>
  <c r="O70" i="100"/>
  <c r="P70" i="100" s="1"/>
  <c r="O69" i="100"/>
  <c r="P69" i="100" s="1"/>
  <c r="O68" i="100"/>
  <c r="P68" i="100" s="1"/>
  <c r="O67" i="100"/>
  <c r="P67" i="100" s="1"/>
  <c r="O66" i="100"/>
  <c r="P66" i="100" s="1"/>
  <c r="O65" i="100"/>
  <c r="P65" i="100" s="1"/>
  <c r="O64" i="100"/>
  <c r="P64" i="100" s="1"/>
  <c r="O63" i="100"/>
  <c r="P63" i="100" s="1"/>
  <c r="O62" i="100"/>
  <c r="P62" i="100" s="1"/>
  <c r="O61" i="100"/>
  <c r="P61" i="100" s="1"/>
  <c r="O60" i="100"/>
  <c r="P60" i="100" s="1"/>
  <c r="O59" i="100"/>
  <c r="P59" i="100" s="1"/>
  <c r="O58" i="100"/>
  <c r="P58" i="100" s="1"/>
  <c r="O57" i="100"/>
  <c r="P57" i="100" s="1"/>
  <c r="O56" i="100"/>
  <c r="P56" i="100" s="1"/>
  <c r="O55" i="100"/>
  <c r="P55" i="100" s="1"/>
  <c r="O54" i="100"/>
  <c r="P54" i="100" s="1"/>
  <c r="O53" i="100"/>
  <c r="P53" i="100" s="1"/>
  <c r="O52" i="100"/>
  <c r="P52" i="100" s="1"/>
  <c r="O51" i="100"/>
  <c r="P51" i="100" s="1"/>
  <c r="O50" i="100"/>
  <c r="P50" i="100" s="1"/>
  <c r="O49" i="100"/>
  <c r="P49" i="100" s="1"/>
  <c r="P48" i="100"/>
  <c r="O48" i="100"/>
  <c r="O47" i="100"/>
  <c r="P47" i="100" s="1"/>
  <c r="O46" i="100"/>
  <c r="P46" i="100" s="1"/>
  <c r="O45" i="100"/>
  <c r="P45" i="100" s="1"/>
  <c r="O44" i="100"/>
  <c r="P44" i="100" s="1"/>
  <c r="O43" i="100"/>
  <c r="P43" i="100" s="1"/>
  <c r="O42" i="100"/>
  <c r="P42" i="100" s="1"/>
  <c r="O41" i="100"/>
  <c r="P41" i="100" s="1"/>
  <c r="O40" i="100"/>
  <c r="P40" i="100" s="1"/>
  <c r="O39" i="100"/>
  <c r="P39" i="100" s="1"/>
  <c r="O38" i="100"/>
  <c r="P38" i="100" s="1"/>
  <c r="O37" i="100"/>
  <c r="P37" i="100" s="1"/>
  <c r="O36" i="100"/>
  <c r="P36" i="100" s="1"/>
  <c r="O35" i="100"/>
  <c r="P35" i="100" s="1"/>
  <c r="O34" i="100"/>
  <c r="P34" i="100" s="1"/>
  <c r="O33" i="100"/>
  <c r="P33" i="100" s="1"/>
  <c r="O32" i="100"/>
  <c r="P32" i="100" s="1"/>
  <c r="O31" i="100"/>
  <c r="P31" i="100" s="1"/>
  <c r="O30" i="100"/>
  <c r="P30" i="100" s="1"/>
  <c r="O29" i="100"/>
  <c r="P29" i="100" s="1"/>
  <c r="O28" i="100"/>
  <c r="P28" i="100" s="1"/>
  <c r="O27" i="100"/>
  <c r="P27" i="100" s="1"/>
  <c r="O26" i="100"/>
  <c r="P26" i="100" s="1"/>
  <c r="O25" i="100"/>
  <c r="P25" i="100" s="1"/>
  <c r="O24" i="100"/>
  <c r="P24" i="100" s="1"/>
  <c r="O23" i="100"/>
  <c r="P23" i="100" s="1"/>
  <c r="O22" i="100"/>
  <c r="P22" i="100" s="1"/>
  <c r="O21" i="100"/>
  <c r="P21" i="100" s="1"/>
  <c r="O20" i="100"/>
  <c r="P20" i="100" s="1"/>
  <c r="O19" i="100"/>
  <c r="P19" i="100" s="1"/>
  <c r="O18" i="100"/>
  <c r="P18" i="100" s="1"/>
  <c r="O17" i="100"/>
  <c r="P17" i="100" s="1"/>
  <c r="H15" i="126" l="1"/>
  <c r="C15" i="126"/>
  <c r="D15" i="126" s="1"/>
  <c r="F16" i="126"/>
  <c r="AD43" i="115"/>
  <c r="AC42" i="115"/>
  <c r="AB41" i="115"/>
  <c r="AD35" i="115"/>
  <c r="AC34" i="115"/>
  <c r="AB33" i="115"/>
  <c r="AD27" i="115"/>
  <c r="AC26" i="115"/>
  <c r="AB25" i="115"/>
  <c r="AD19" i="115"/>
  <c r="AC18" i="115"/>
  <c r="AB17" i="115"/>
  <c r="AD38" i="115"/>
  <c r="AB28" i="115"/>
  <c r="AC21" i="115"/>
  <c r="AD44" i="115"/>
  <c r="AC43" i="115"/>
  <c r="AB42" i="115"/>
  <c r="AD36" i="115"/>
  <c r="AC35" i="115"/>
  <c r="AB34" i="115"/>
  <c r="AD28" i="115"/>
  <c r="AC27" i="115"/>
  <c r="AB26" i="115"/>
  <c r="AD20" i="115"/>
  <c r="AC19" i="115"/>
  <c r="AB18" i="115"/>
  <c r="AB44" i="115"/>
  <c r="AB36" i="115"/>
  <c r="AD30" i="115"/>
  <c r="AC44" i="115"/>
  <c r="AB43" i="115"/>
  <c r="AD37" i="115"/>
  <c r="AC36" i="115"/>
  <c r="AB35" i="115"/>
  <c r="AD29" i="115"/>
  <c r="AC28" i="115"/>
  <c r="AB27" i="115"/>
  <c r="AD21" i="115"/>
  <c r="AC20" i="115"/>
  <c r="AB19" i="115"/>
  <c r="AC37" i="115"/>
  <c r="AC29" i="115"/>
  <c r="AD22" i="115"/>
  <c r="AB20" i="115"/>
  <c r="AD39" i="115"/>
  <c r="AC38" i="115"/>
  <c r="AB37" i="115"/>
  <c r="AD31" i="115"/>
  <c r="AC30" i="115"/>
  <c r="AB29" i="115"/>
  <c r="AD23" i="115"/>
  <c r="AC22" i="115"/>
  <c r="AB21" i="115"/>
  <c r="AC41" i="115"/>
  <c r="AB32" i="115"/>
  <c r="AB24" i="115"/>
  <c r="AC17" i="115"/>
  <c r="AD40" i="115"/>
  <c r="AC39" i="115"/>
  <c r="AB38" i="115"/>
  <c r="AD32" i="115"/>
  <c r="AC31" i="115"/>
  <c r="AB30" i="115"/>
  <c r="AD24" i="115"/>
  <c r="AC23" i="115"/>
  <c r="AB22" i="115"/>
  <c r="AD16" i="115"/>
  <c r="AB40" i="115"/>
  <c r="AD34" i="115"/>
  <c r="AC25" i="115"/>
  <c r="AD18" i="115"/>
  <c r="AD41" i="115"/>
  <c r="AC40" i="115"/>
  <c r="AB39" i="115"/>
  <c r="AD33" i="115"/>
  <c r="AC32" i="115"/>
  <c r="AB31" i="115"/>
  <c r="AD25" i="115"/>
  <c r="AC24" i="115"/>
  <c r="AB23" i="115"/>
  <c r="AD17" i="115"/>
  <c r="AC16" i="115"/>
  <c r="AD42" i="115"/>
  <c r="AC33" i="115"/>
  <c r="AD26" i="115"/>
  <c r="AB16" i="115"/>
  <c r="D15" i="115"/>
  <c r="C16" i="115"/>
  <c r="C12" i="114" s="1"/>
  <c r="I16" i="115"/>
  <c r="W17" i="122"/>
  <c r="D17" i="122"/>
  <c r="C18" i="122"/>
  <c r="I18" i="122"/>
  <c r="AC15" i="115"/>
  <c r="AD15" i="115"/>
  <c r="T14" i="100"/>
  <c r="U14" i="100" s="1"/>
  <c r="T13" i="100"/>
  <c r="U13" i="100" s="1"/>
  <c r="T12" i="100"/>
  <c r="U12" i="100" s="1"/>
  <c r="T11" i="100"/>
  <c r="U11" i="100" s="1"/>
  <c r="AG11" i="100" s="1"/>
  <c r="AL109" i="100"/>
  <c r="AI109" i="100"/>
  <c r="AH109" i="100"/>
  <c r="AG109" i="100"/>
  <c r="AF109" i="100"/>
  <c r="U109" i="100"/>
  <c r="T109" i="100"/>
  <c r="L109" i="100"/>
  <c r="K109" i="100"/>
  <c r="J109" i="100"/>
  <c r="I109" i="100"/>
  <c r="A109" i="100"/>
  <c r="AL108" i="100"/>
  <c r="AI108" i="100"/>
  <c r="AH108" i="100"/>
  <c r="AG108" i="100"/>
  <c r="AF108" i="100"/>
  <c r="U108" i="100"/>
  <c r="T108" i="100"/>
  <c r="L108" i="100"/>
  <c r="K108" i="100"/>
  <c r="J108" i="100"/>
  <c r="I108" i="100"/>
  <c r="A108" i="100"/>
  <c r="AL107" i="100"/>
  <c r="AI107" i="100"/>
  <c r="AH107" i="100"/>
  <c r="AG107" i="100"/>
  <c r="AF107" i="100"/>
  <c r="U107" i="100"/>
  <c r="T107" i="100"/>
  <c r="L107" i="100"/>
  <c r="K107" i="100"/>
  <c r="J107" i="100"/>
  <c r="I107" i="100"/>
  <c r="A107" i="100"/>
  <c r="AL106" i="100"/>
  <c r="AI106" i="100"/>
  <c r="AH106" i="100"/>
  <c r="AG106" i="100"/>
  <c r="AF106" i="100"/>
  <c r="U106" i="100"/>
  <c r="T106" i="100"/>
  <c r="L106" i="100"/>
  <c r="K106" i="100"/>
  <c r="J106" i="100"/>
  <c r="I106" i="100"/>
  <c r="A106" i="100"/>
  <c r="AL105" i="100"/>
  <c r="AI105" i="100"/>
  <c r="AH105" i="100"/>
  <c r="AG105" i="100"/>
  <c r="AF105" i="100"/>
  <c r="U105" i="100"/>
  <c r="T105" i="100"/>
  <c r="L105" i="100"/>
  <c r="K105" i="100"/>
  <c r="J105" i="100"/>
  <c r="I105" i="100"/>
  <c r="A105" i="100"/>
  <c r="AL104" i="100"/>
  <c r="AI104" i="100"/>
  <c r="AH104" i="100"/>
  <c r="AG104" i="100"/>
  <c r="AF104" i="100"/>
  <c r="U104" i="100"/>
  <c r="T104" i="100"/>
  <c r="L104" i="100"/>
  <c r="K104" i="100"/>
  <c r="J104" i="100"/>
  <c r="I104" i="100"/>
  <c r="A104" i="100"/>
  <c r="AL103" i="100"/>
  <c r="AI103" i="100"/>
  <c r="AH103" i="100"/>
  <c r="AG103" i="100"/>
  <c r="AF103" i="100"/>
  <c r="U103" i="100"/>
  <c r="T103" i="100"/>
  <c r="L103" i="100"/>
  <c r="K103" i="100"/>
  <c r="J103" i="100"/>
  <c r="I103" i="100"/>
  <c r="A103" i="100"/>
  <c r="AL102" i="100"/>
  <c r="AI102" i="100"/>
  <c r="AH102" i="100"/>
  <c r="AG102" i="100"/>
  <c r="AF102" i="100"/>
  <c r="U102" i="100"/>
  <c r="T102" i="100"/>
  <c r="L102" i="100"/>
  <c r="K102" i="100"/>
  <c r="J102" i="100"/>
  <c r="I102" i="100"/>
  <c r="A102" i="100"/>
  <c r="AL101" i="100"/>
  <c r="AI101" i="100"/>
  <c r="AH101" i="100"/>
  <c r="AG101" i="100"/>
  <c r="AF101" i="100"/>
  <c r="U101" i="100"/>
  <c r="T101" i="100"/>
  <c r="L101" i="100"/>
  <c r="K101" i="100"/>
  <c r="J101" i="100"/>
  <c r="I101" i="100"/>
  <c r="A101" i="100"/>
  <c r="AL100" i="100"/>
  <c r="AI100" i="100"/>
  <c r="AH100" i="100"/>
  <c r="AG100" i="100"/>
  <c r="AF100" i="100"/>
  <c r="U100" i="100"/>
  <c r="T100" i="100"/>
  <c r="L100" i="100"/>
  <c r="K100" i="100"/>
  <c r="J100" i="100"/>
  <c r="I100" i="100"/>
  <c r="A100" i="100"/>
  <c r="AL99" i="100"/>
  <c r="AI99" i="100"/>
  <c r="AH99" i="100"/>
  <c r="AG99" i="100"/>
  <c r="AF99" i="100"/>
  <c r="U99" i="100"/>
  <c r="T99" i="100"/>
  <c r="L99" i="100"/>
  <c r="K99" i="100"/>
  <c r="J99" i="100"/>
  <c r="I99" i="100"/>
  <c r="A99" i="100"/>
  <c r="AL98" i="100"/>
  <c r="AI98" i="100"/>
  <c r="AH98" i="100"/>
  <c r="AG98" i="100"/>
  <c r="AF98" i="100"/>
  <c r="U98" i="100"/>
  <c r="T98" i="100"/>
  <c r="L98" i="100"/>
  <c r="K98" i="100"/>
  <c r="J98" i="100"/>
  <c r="I98" i="100"/>
  <c r="A98" i="100"/>
  <c r="AL97" i="100"/>
  <c r="AI97" i="100"/>
  <c r="AH97" i="100"/>
  <c r="AG97" i="100"/>
  <c r="AF97" i="100"/>
  <c r="U97" i="100"/>
  <c r="T97" i="100"/>
  <c r="L97" i="100"/>
  <c r="K97" i="100"/>
  <c r="J97" i="100"/>
  <c r="I97" i="100"/>
  <c r="A97" i="100"/>
  <c r="AL96" i="100"/>
  <c r="AI96" i="100"/>
  <c r="AH96" i="100"/>
  <c r="AG96" i="100"/>
  <c r="AF96" i="100"/>
  <c r="U96" i="100"/>
  <c r="T96" i="100"/>
  <c r="L96" i="100"/>
  <c r="K96" i="100"/>
  <c r="J96" i="100"/>
  <c r="I96" i="100"/>
  <c r="A96" i="100"/>
  <c r="AL95" i="100"/>
  <c r="AI95" i="100"/>
  <c r="AH95" i="100"/>
  <c r="AG95" i="100"/>
  <c r="AF95" i="100"/>
  <c r="U95" i="100"/>
  <c r="T95" i="100"/>
  <c r="L95" i="100"/>
  <c r="K95" i="100"/>
  <c r="J95" i="100"/>
  <c r="I95" i="100"/>
  <c r="A95" i="100"/>
  <c r="AL94" i="100"/>
  <c r="AI94" i="100"/>
  <c r="AH94" i="100"/>
  <c r="AG94" i="100"/>
  <c r="AF94" i="100"/>
  <c r="U94" i="100"/>
  <c r="T94" i="100"/>
  <c r="L94" i="100"/>
  <c r="K94" i="100"/>
  <c r="J94" i="100"/>
  <c r="I94" i="100"/>
  <c r="A94" i="100"/>
  <c r="AL93" i="100"/>
  <c r="AI93" i="100"/>
  <c r="AH93" i="100"/>
  <c r="AG93" i="100"/>
  <c r="AF93" i="100"/>
  <c r="U93" i="100"/>
  <c r="T93" i="100"/>
  <c r="L93" i="100"/>
  <c r="K93" i="100"/>
  <c r="J93" i="100"/>
  <c r="I93" i="100"/>
  <c r="A93" i="100"/>
  <c r="AL92" i="100"/>
  <c r="AI92" i="100"/>
  <c r="AH92" i="100"/>
  <c r="AG92" i="100"/>
  <c r="AF92" i="100"/>
  <c r="U92" i="100"/>
  <c r="T92" i="100"/>
  <c r="L92" i="100"/>
  <c r="K92" i="100"/>
  <c r="J92" i="100"/>
  <c r="I92" i="100"/>
  <c r="A92" i="100"/>
  <c r="AL91" i="100"/>
  <c r="AI91" i="100"/>
  <c r="AH91" i="100"/>
  <c r="AG91" i="100"/>
  <c r="AF91" i="100"/>
  <c r="U91" i="100"/>
  <c r="T91" i="100"/>
  <c r="L91" i="100"/>
  <c r="K91" i="100"/>
  <c r="J91" i="100"/>
  <c r="I91" i="100"/>
  <c r="A91" i="100"/>
  <c r="AL90" i="100"/>
  <c r="AI90" i="100"/>
  <c r="AH90" i="100"/>
  <c r="AG90" i="100"/>
  <c r="AF90" i="100"/>
  <c r="U90" i="100"/>
  <c r="T90" i="100"/>
  <c r="L90" i="100"/>
  <c r="K90" i="100"/>
  <c r="J90" i="100"/>
  <c r="I90" i="100"/>
  <c r="A90" i="100"/>
  <c r="AL89" i="100"/>
  <c r="AI89" i="100"/>
  <c r="AH89" i="100"/>
  <c r="AG89" i="100"/>
  <c r="AF89" i="100"/>
  <c r="U89" i="100"/>
  <c r="T89" i="100"/>
  <c r="L89" i="100"/>
  <c r="K89" i="100"/>
  <c r="J89" i="100"/>
  <c r="I89" i="100"/>
  <c r="A89" i="100"/>
  <c r="AL88" i="100"/>
  <c r="AI88" i="100"/>
  <c r="AH88" i="100"/>
  <c r="AG88" i="100"/>
  <c r="AF88" i="100"/>
  <c r="U88" i="100"/>
  <c r="T88" i="100"/>
  <c r="L88" i="100"/>
  <c r="K88" i="100"/>
  <c r="J88" i="100"/>
  <c r="I88" i="100"/>
  <c r="A88" i="100"/>
  <c r="AL87" i="100"/>
  <c r="AI87" i="100"/>
  <c r="AH87" i="100"/>
  <c r="AG87" i="100"/>
  <c r="AF87" i="100"/>
  <c r="U87" i="100"/>
  <c r="T87" i="100"/>
  <c r="L87" i="100"/>
  <c r="K87" i="100"/>
  <c r="J87" i="100"/>
  <c r="I87" i="100"/>
  <c r="A87" i="100"/>
  <c r="AL86" i="100"/>
  <c r="AI86" i="100"/>
  <c r="AH86" i="100"/>
  <c r="AG86" i="100"/>
  <c r="AF86" i="100"/>
  <c r="U86" i="100"/>
  <c r="T86" i="100"/>
  <c r="L86" i="100"/>
  <c r="K86" i="100"/>
  <c r="J86" i="100"/>
  <c r="I86" i="100"/>
  <c r="A86" i="100"/>
  <c r="AL85" i="100"/>
  <c r="AI85" i="100"/>
  <c r="AH85" i="100"/>
  <c r="AG85" i="100"/>
  <c r="AF85" i="100"/>
  <c r="U85" i="100"/>
  <c r="T85" i="100"/>
  <c r="L85" i="100"/>
  <c r="K85" i="100"/>
  <c r="J85" i="100"/>
  <c r="I85" i="100"/>
  <c r="A85" i="100"/>
  <c r="AL84" i="100"/>
  <c r="AI84" i="100"/>
  <c r="AH84" i="100"/>
  <c r="AG84" i="100"/>
  <c r="AF84" i="100"/>
  <c r="U84" i="100"/>
  <c r="T84" i="100"/>
  <c r="L84" i="100"/>
  <c r="K84" i="100"/>
  <c r="J84" i="100"/>
  <c r="I84" i="100"/>
  <c r="A84" i="100"/>
  <c r="AL83" i="100"/>
  <c r="AI83" i="100"/>
  <c r="AH83" i="100"/>
  <c r="AG83" i="100"/>
  <c r="AF83" i="100"/>
  <c r="U83" i="100"/>
  <c r="T83" i="100"/>
  <c r="L83" i="100"/>
  <c r="K83" i="100"/>
  <c r="J83" i="100"/>
  <c r="I83" i="100"/>
  <c r="A83" i="100"/>
  <c r="AL82" i="100"/>
  <c r="AI82" i="100"/>
  <c r="AH82" i="100"/>
  <c r="AG82" i="100"/>
  <c r="AF82" i="100"/>
  <c r="U82" i="100"/>
  <c r="T82" i="100"/>
  <c r="L82" i="100"/>
  <c r="K82" i="100"/>
  <c r="J82" i="100"/>
  <c r="I82" i="100"/>
  <c r="A82" i="100"/>
  <c r="AL81" i="100"/>
  <c r="AI81" i="100"/>
  <c r="AH81" i="100"/>
  <c r="AG81" i="100"/>
  <c r="AF81" i="100"/>
  <c r="U81" i="100"/>
  <c r="T81" i="100"/>
  <c r="L81" i="100"/>
  <c r="K81" i="100"/>
  <c r="J81" i="100"/>
  <c r="I81" i="100"/>
  <c r="A81" i="100"/>
  <c r="AL80" i="100"/>
  <c r="AI80" i="100"/>
  <c r="AH80" i="100"/>
  <c r="AG80" i="100"/>
  <c r="AF80" i="100"/>
  <c r="U80" i="100"/>
  <c r="T80" i="100"/>
  <c r="L80" i="100"/>
  <c r="K80" i="100"/>
  <c r="J80" i="100"/>
  <c r="I80" i="100"/>
  <c r="A80" i="100"/>
  <c r="AL79" i="100"/>
  <c r="AI79" i="100"/>
  <c r="AH79" i="100"/>
  <c r="AG79" i="100"/>
  <c r="AF79" i="100"/>
  <c r="U79" i="100"/>
  <c r="T79" i="100"/>
  <c r="L79" i="100"/>
  <c r="K79" i="100"/>
  <c r="J79" i="100"/>
  <c r="I79" i="100"/>
  <c r="A79" i="100"/>
  <c r="AL78" i="100"/>
  <c r="AI78" i="100"/>
  <c r="AH78" i="100"/>
  <c r="AG78" i="100"/>
  <c r="AF78" i="100"/>
  <c r="U78" i="100"/>
  <c r="T78" i="100"/>
  <c r="L78" i="100"/>
  <c r="K78" i="100"/>
  <c r="J78" i="100"/>
  <c r="I78" i="100"/>
  <c r="A78" i="100"/>
  <c r="AL77" i="100"/>
  <c r="AI77" i="100"/>
  <c r="AH77" i="100"/>
  <c r="AG77" i="100"/>
  <c r="AF77" i="100"/>
  <c r="U77" i="100"/>
  <c r="T77" i="100"/>
  <c r="L77" i="100"/>
  <c r="K77" i="100"/>
  <c r="J77" i="100"/>
  <c r="I77" i="100"/>
  <c r="A77" i="100"/>
  <c r="AL76" i="100"/>
  <c r="AI76" i="100"/>
  <c r="AH76" i="100"/>
  <c r="AG76" i="100"/>
  <c r="AF76" i="100"/>
  <c r="U76" i="100"/>
  <c r="T76" i="100"/>
  <c r="L76" i="100"/>
  <c r="K76" i="100"/>
  <c r="J76" i="100"/>
  <c r="I76" i="100"/>
  <c r="A76" i="100"/>
  <c r="AL75" i="100"/>
  <c r="AI75" i="100"/>
  <c r="AH75" i="100"/>
  <c r="AG75" i="100"/>
  <c r="AF75" i="100"/>
  <c r="U75" i="100"/>
  <c r="T75" i="100"/>
  <c r="L75" i="100"/>
  <c r="K75" i="100"/>
  <c r="J75" i="100"/>
  <c r="I75" i="100"/>
  <c r="A75" i="100"/>
  <c r="AL74" i="100"/>
  <c r="AI74" i="100"/>
  <c r="AH74" i="100"/>
  <c r="AG74" i="100"/>
  <c r="AF74" i="100"/>
  <c r="U74" i="100"/>
  <c r="T74" i="100"/>
  <c r="L74" i="100"/>
  <c r="K74" i="100"/>
  <c r="J74" i="100"/>
  <c r="I74" i="100"/>
  <c r="A74" i="100"/>
  <c r="AL73" i="100"/>
  <c r="AI73" i="100"/>
  <c r="AH73" i="100"/>
  <c r="AG73" i="100"/>
  <c r="AF73" i="100"/>
  <c r="U73" i="100"/>
  <c r="T73" i="100"/>
  <c r="L73" i="100"/>
  <c r="K73" i="100"/>
  <c r="J73" i="100"/>
  <c r="I73" i="100"/>
  <c r="A73" i="100"/>
  <c r="AL72" i="100"/>
  <c r="AI72" i="100"/>
  <c r="AH72" i="100"/>
  <c r="AG72" i="100"/>
  <c r="AF72" i="100"/>
  <c r="U72" i="100"/>
  <c r="T72" i="100"/>
  <c r="L72" i="100"/>
  <c r="K72" i="100"/>
  <c r="J72" i="100"/>
  <c r="I72" i="100"/>
  <c r="A72" i="100"/>
  <c r="AL71" i="100"/>
  <c r="AI71" i="100"/>
  <c r="AH71" i="100"/>
  <c r="AG71" i="100"/>
  <c r="AF71" i="100"/>
  <c r="U71" i="100"/>
  <c r="T71" i="100"/>
  <c r="L71" i="100"/>
  <c r="K71" i="100"/>
  <c r="J71" i="100"/>
  <c r="I71" i="100"/>
  <c r="A71" i="100"/>
  <c r="AL70" i="100"/>
  <c r="AI70" i="100"/>
  <c r="AH70" i="100"/>
  <c r="AG70" i="100"/>
  <c r="AF70" i="100"/>
  <c r="U70" i="100"/>
  <c r="T70" i="100"/>
  <c r="L70" i="100"/>
  <c r="K70" i="100"/>
  <c r="J70" i="100"/>
  <c r="I70" i="100"/>
  <c r="A70" i="100"/>
  <c r="AL69" i="100"/>
  <c r="AI69" i="100"/>
  <c r="AH69" i="100"/>
  <c r="AG69" i="100"/>
  <c r="AF69" i="100"/>
  <c r="U69" i="100"/>
  <c r="T69" i="100"/>
  <c r="L69" i="100"/>
  <c r="K69" i="100"/>
  <c r="J69" i="100"/>
  <c r="I69" i="100"/>
  <c r="A69" i="100"/>
  <c r="AL68" i="100"/>
  <c r="AI68" i="100"/>
  <c r="AH68" i="100"/>
  <c r="AG68" i="100"/>
  <c r="AF68" i="100"/>
  <c r="U68" i="100"/>
  <c r="T68" i="100"/>
  <c r="L68" i="100"/>
  <c r="K68" i="100"/>
  <c r="J68" i="100"/>
  <c r="I68" i="100"/>
  <c r="A68" i="100"/>
  <c r="AL67" i="100"/>
  <c r="AI67" i="100"/>
  <c r="AH67" i="100"/>
  <c r="AG67" i="100"/>
  <c r="AF67" i="100"/>
  <c r="U67" i="100"/>
  <c r="T67" i="100"/>
  <c r="L67" i="100"/>
  <c r="K67" i="100"/>
  <c r="J67" i="100"/>
  <c r="I67" i="100"/>
  <c r="A67" i="100"/>
  <c r="AL66" i="100"/>
  <c r="AI66" i="100"/>
  <c r="AH66" i="100"/>
  <c r="AG66" i="100"/>
  <c r="AF66" i="100"/>
  <c r="U66" i="100"/>
  <c r="T66" i="100"/>
  <c r="L66" i="100"/>
  <c r="K66" i="100"/>
  <c r="J66" i="100"/>
  <c r="I66" i="100"/>
  <c r="A66" i="100"/>
  <c r="AL65" i="100"/>
  <c r="AI65" i="100"/>
  <c r="AH65" i="100"/>
  <c r="AG65" i="100"/>
  <c r="AF65" i="100"/>
  <c r="U65" i="100"/>
  <c r="T65" i="100"/>
  <c r="L65" i="100"/>
  <c r="K65" i="100"/>
  <c r="J65" i="100"/>
  <c r="I65" i="100"/>
  <c r="A65" i="100"/>
  <c r="AL64" i="100"/>
  <c r="AI64" i="100"/>
  <c r="AH64" i="100"/>
  <c r="AG64" i="100"/>
  <c r="AF64" i="100"/>
  <c r="U64" i="100"/>
  <c r="T64" i="100"/>
  <c r="L64" i="100"/>
  <c r="K64" i="100"/>
  <c r="J64" i="100"/>
  <c r="I64" i="100"/>
  <c r="A64" i="100"/>
  <c r="AL63" i="100"/>
  <c r="AI63" i="100"/>
  <c r="AH63" i="100"/>
  <c r="AG63" i="100"/>
  <c r="AF63" i="100"/>
  <c r="U63" i="100"/>
  <c r="T63" i="100"/>
  <c r="L63" i="100"/>
  <c r="K63" i="100"/>
  <c r="J63" i="100"/>
  <c r="I63" i="100"/>
  <c r="A63" i="100"/>
  <c r="AL62" i="100"/>
  <c r="AI62" i="100"/>
  <c r="AH62" i="100"/>
  <c r="AG62" i="100"/>
  <c r="AF62" i="100"/>
  <c r="U62" i="100"/>
  <c r="T62" i="100"/>
  <c r="L62" i="100"/>
  <c r="K62" i="100"/>
  <c r="J62" i="100"/>
  <c r="I62" i="100"/>
  <c r="A62" i="100"/>
  <c r="AL61" i="100"/>
  <c r="AI61" i="100"/>
  <c r="AH61" i="100"/>
  <c r="AG61" i="100"/>
  <c r="AF61" i="100"/>
  <c r="U61" i="100"/>
  <c r="T61" i="100"/>
  <c r="L61" i="100"/>
  <c r="K61" i="100"/>
  <c r="J61" i="100"/>
  <c r="I61" i="100"/>
  <c r="A61" i="100"/>
  <c r="AL60" i="100"/>
  <c r="AI60" i="100"/>
  <c r="AH60" i="100"/>
  <c r="AG60" i="100"/>
  <c r="AF60" i="100"/>
  <c r="U60" i="100"/>
  <c r="T60" i="100"/>
  <c r="L60" i="100"/>
  <c r="K60" i="100"/>
  <c r="J60" i="100"/>
  <c r="I60" i="100"/>
  <c r="A60" i="100"/>
  <c r="AL59" i="100"/>
  <c r="AI59" i="100"/>
  <c r="AH59" i="100"/>
  <c r="AG59" i="100"/>
  <c r="AF59" i="100"/>
  <c r="U59" i="100"/>
  <c r="T59" i="100"/>
  <c r="L59" i="100"/>
  <c r="K59" i="100"/>
  <c r="J59" i="100"/>
  <c r="I59" i="100"/>
  <c r="A59" i="100"/>
  <c r="AL58" i="100"/>
  <c r="AI58" i="100"/>
  <c r="AH58" i="100"/>
  <c r="AG58" i="100"/>
  <c r="AF58" i="100"/>
  <c r="U58" i="100"/>
  <c r="T58" i="100"/>
  <c r="L58" i="100"/>
  <c r="K58" i="100"/>
  <c r="J58" i="100"/>
  <c r="I58" i="100"/>
  <c r="A58" i="100"/>
  <c r="AL57" i="100"/>
  <c r="AI57" i="100"/>
  <c r="AH57" i="100"/>
  <c r="AG57" i="100"/>
  <c r="AF57" i="100"/>
  <c r="U57" i="100"/>
  <c r="T57" i="100"/>
  <c r="L57" i="100"/>
  <c r="K57" i="100"/>
  <c r="J57" i="100"/>
  <c r="I57" i="100"/>
  <c r="A57" i="100"/>
  <c r="AL56" i="100"/>
  <c r="AI56" i="100"/>
  <c r="AH56" i="100"/>
  <c r="AG56" i="100"/>
  <c r="AF56" i="100"/>
  <c r="U56" i="100"/>
  <c r="T56" i="100"/>
  <c r="L56" i="100"/>
  <c r="K56" i="100"/>
  <c r="J56" i="100"/>
  <c r="I56" i="100"/>
  <c r="A56" i="100"/>
  <c r="AL55" i="100"/>
  <c r="AI55" i="100"/>
  <c r="AH55" i="100"/>
  <c r="AG55" i="100"/>
  <c r="AF55" i="100"/>
  <c r="U55" i="100"/>
  <c r="T55" i="100"/>
  <c r="L55" i="100"/>
  <c r="K55" i="100"/>
  <c r="J55" i="100"/>
  <c r="I55" i="100"/>
  <c r="A55" i="100"/>
  <c r="AL54" i="100"/>
  <c r="AI54" i="100"/>
  <c r="AH54" i="100"/>
  <c r="AG54" i="100"/>
  <c r="AF54" i="100"/>
  <c r="U54" i="100"/>
  <c r="T54" i="100"/>
  <c r="L54" i="100"/>
  <c r="K54" i="100"/>
  <c r="J54" i="100"/>
  <c r="I54" i="100"/>
  <c r="A54" i="100"/>
  <c r="AL53" i="100"/>
  <c r="AI53" i="100"/>
  <c r="AH53" i="100"/>
  <c r="AG53" i="100"/>
  <c r="AF53" i="100"/>
  <c r="U53" i="100"/>
  <c r="T53" i="100"/>
  <c r="L53" i="100"/>
  <c r="K53" i="100"/>
  <c r="J53" i="100"/>
  <c r="I53" i="100"/>
  <c r="A53" i="100"/>
  <c r="AL52" i="100"/>
  <c r="AI52" i="100"/>
  <c r="AH52" i="100"/>
  <c r="AG52" i="100"/>
  <c r="AF52" i="100"/>
  <c r="U52" i="100"/>
  <c r="T52" i="100"/>
  <c r="L52" i="100"/>
  <c r="K52" i="100"/>
  <c r="J52" i="100"/>
  <c r="I52" i="100"/>
  <c r="A52" i="100"/>
  <c r="AL51" i="100"/>
  <c r="AI51" i="100"/>
  <c r="AH51" i="100"/>
  <c r="AG51" i="100"/>
  <c r="AF51" i="100"/>
  <c r="U51" i="100"/>
  <c r="T51" i="100"/>
  <c r="L51" i="100"/>
  <c r="K51" i="100"/>
  <c r="J51" i="100"/>
  <c r="I51" i="100"/>
  <c r="A51" i="100"/>
  <c r="AL50" i="100"/>
  <c r="AI50" i="100"/>
  <c r="AH50" i="100"/>
  <c r="AG50" i="100"/>
  <c r="AF50" i="100"/>
  <c r="U50" i="100"/>
  <c r="T50" i="100"/>
  <c r="L50" i="100"/>
  <c r="K50" i="100"/>
  <c r="J50" i="100"/>
  <c r="I50" i="100"/>
  <c r="A50" i="100"/>
  <c r="AL49" i="100"/>
  <c r="AI49" i="100"/>
  <c r="AH49" i="100"/>
  <c r="AG49" i="100"/>
  <c r="AF49" i="100"/>
  <c r="U49" i="100"/>
  <c r="T49" i="100"/>
  <c r="L49" i="100"/>
  <c r="K49" i="100"/>
  <c r="J49" i="100"/>
  <c r="I49" i="100"/>
  <c r="A49" i="100"/>
  <c r="AL48" i="100"/>
  <c r="AI48" i="100"/>
  <c r="AH48" i="100"/>
  <c r="AG48" i="100"/>
  <c r="AF48" i="100"/>
  <c r="U48" i="100"/>
  <c r="T48" i="100"/>
  <c r="L48" i="100"/>
  <c r="K48" i="100"/>
  <c r="J48" i="100"/>
  <c r="I48" i="100"/>
  <c r="A48" i="100"/>
  <c r="AL47" i="100"/>
  <c r="AI47" i="100"/>
  <c r="AH47" i="100"/>
  <c r="AG47" i="100"/>
  <c r="AF47" i="100"/>
  <c r="U47" i="100"/>
  <c r="T47" i="100"/>
  <c r="L47" i="100"/>
  <c r="K47" i="100"/>
  <c r="J47" i="100"/>
  <c r="I47" i="100"/>
  <c r="A47" i="100"/>
  <c r="AL46" i="100"/>
  <c r="AI46" i="100"/>
  <c r="AH46" i="100"/>
  <c r="AG46" i="100"/>
  <c r="AF46" i="100"/>
  <c r="U46" i="100"/>
  <c r="T46" i="100"/>
  <c r="L46" i="100"/>
  <c r="K46" i="100"/>
  <c r="J46" i="100"/>
  <c r="I46" i="100"/>
  <c r="A46" i="100"/>
  <c r="AL45" i="100"/>
  <c r="AI45" i="100"/>
  <c r="AH45" i="100"/>
  <c r="AG45" i="100"/>
  <c r="AF45" i="100"/>
  <c r="U45" i="100"/>
  <c r="T45" i="100"/>
  <c r="L45" i="100"/>
  <c r="K45" i="100"/>
  <c r="J45" i="100"/>
  <c r="I45" i="100"/>
  <c r="A45" i="100"/>
  <c r="AL44" i="100"/>
  <c r="AI44" i="100"/>
  <c r="AH44" i="100"/>
  <c r="AG44" i="100"/>
  <c r="AF44" i="100"/>
  <c r="U44" i="100"/>
  <c r="T44" i="100"/>
  <c r="L44" i="100"/>
  <c r="K44" i="100"/>
  <c r="J44" i="100"/>
  <c r="I44" i="100"/>
  <c r="A44" i="100"/>
  <c r="AL43" i="100"/>
  <c r="AI43" i="100"/>
  <c r="AH43" i="100"/>
  <c r="AG43" i="100"/>
  <c r="AF43" i="100"/>
  <c r="U43" i="100"/>
  <c r="T43" i="100"/>
  <c r="L43" i="100"/>
  <c r="K43" i="100"/>
  <c r="J43" i="100"/>
  <c r="I43" i="100"/>
  <c r="A43" i="100"/>
  <c r="AL42" i="100"/>
  <c r="AI42" i="100"/>
  <c r="AH42" i="100"/>
  <c r="AG42" i="100"/>
  <c r="AF42" i="100"/>
  <c r="U42" i="100"/>
  <c r="T42" i="100"/>
  <c r="L42" i="100"/>
  <c r="K42" i="100"/>
  <c r="J42" i="100"/>
  <c r="I42" i="100"/>
  <c r="A42" i="100"/>
  <c r="AL41" i="100"/>
  <c r="AI41" i="100"/>
  <c r="AH41" i="100"/>
  <c r="AG41" i="100"/>
  <c r="AF41" i="100"/>
  <c r="U41" i="100"/>
  <c r="T41" i="100"/>
  <c r="L41" i="100"/>
  <c r="K41" i="100"/>
  <c r="J41" i="100"/>
  <c r="I41" i="100"/>
  <c r="A41" i="100"/>
  <c r="AL40" i="100"/>
  <c r="AI40" i="100"/>
  <c r="AH40" i="100"/>
  <c r="AG40" i="100"/>
  <c r="AF40" i="100"/>
  <c r="U40" i="100"/>
  <c r="T40" i="100"/>
  <c r="L40" i="100"/>
  <c r="K40" i="100"/>
  <c r="J40" i="100"/>
  <c r="I40" i="100"/>
  <c r="A40" i="100"/>
  <c r="AL39" i="100"/>
  <c r="AI39" i="100"/>
  <c r="AH39" i="100"/>
  <c r="AG39" i="100"/>
  <c r="AF39" i="100"/>
  <c r="U39" i="100"/>
  <c r="T39" i="100"/>
  <c r="L39" i="100"/>
  <c r="K39" i="100"/>
  <c r="J39" i="100"/>
  <c r="I39" i="100"/>
  <c r="A39" i="100"/>
  <c r="AL38" i="100"/>
  <c r="AI38" i="100"/>
  <c r="AH38" i="100"/>
  <c r="AG38" i="100"/>
  <c r="AF38" i="100"/>
  <c r="U38" i="100"/>
  <c r="T38" i="100"/>
  <c r="L38" i="100"/>
  <c r="K38" i="100"/>
  <c r="J38" i="100"/>
  <c r="I38" i="100"/>
  <c r="A38" i="100"/>
  <c r="AL37" i="100"/>
  <c r="AI37" i="100"/>
  <c r="AH37" i="100"/>
  <c r="AG37" i="100"/>
  <c r="AF37" i="100"/>
  <c r="U37" i="100"/>
  <c r="T37" i="100"/>
  <c r="L37" i="100"/>
  <c r="K37" i="100"/>
  <c r="J37" i="100"/>
  <c r="I37" i="100"/>
  <c r="A37" i="100"/>
  <c r="AL36" i="100"/>
  <c r="AI36" i="100"/>
  <c r="AH36" i="100"/>
  <c r="AG36" i="100"/>
  <c r="AF36" i="100"/>
  <c r="U36" i="100"/>
  <c r="T36" i="100"/>
  <c r="L36" i="100"/>
  <c r="K36" i="100"/>
  <c r="J36" i="100"/>
  <c r="I36" i="100"/>
  <c r="A36" i="100"/>
  <c r="AL35" i="100"/>
  <c r="AI35" i="100"/>
  <c r="AH35" i="100"/>
  <c r="AG35" i="100"/>
  <c r="AF35" i="100"/>
  <c r="U35" i="100"/>
  <c r="T35" i="100"/>
  <c r="L35" i="100"/>
  <c r="K35" i="100"/>
  <c r="J35" i="100"/>
  <c r="I35" i="100"/>
  <c r="A35" i="100"/>
  <c r="AL34" i="100"/>
  <c r="AI34" i="100"/>
  <c r="AH34" i="100"/>
  <c r="AG34" i="100"/>
  <c r="AF34" i="100"/>
  <c r="U34" i="100"/>
  <c r="T34" i="100"/>
  <c r="L34" i="100"/>
  <c r="K34" i="100"/>
  <c r="J34" i="100"/>
  <c r="I34" i="100"/>
  <c r="A34" i="100"/>
  <c r="AL33" i="100"/>
  <c r="AI33" i="100"/>
  <c r="AH33" i="100"/>
  <c r="AG33" i="100"/>
  <c r="AF33" i="100"/>
  <c r="U33" i="100"/>
  <c r="T33" i="100"/>
  <c r="L33" i="100"/>
  <c r="K33" i="100"/>
  <c r="J33" i="100"/>
  <c r="I33" i="100"/>
  <c r="A33" i="100"/>
  <c r="AL32" i="100"/>
  <c r="AI32" i="100"/>
  <c r="AH32" i="100"/>
  <c r="AG32" i="100"/>
  <c r="AF32" i="100"/>
  <c r="U32" i="100"/>
  <c r="T32" i="100"/>
  <c r="L32" i="100"/>
  <c r="K32" i="100"/>
  <c r="J32" i="100"/>
  <c r="I32" i="100"/>
  <c r="A32" i="100"/>
  <c r="AL31" i="100"/>
  <c r="AI31" i="100"/>
  <c r="AH31" i="100"/>
  <c r="AG31" i="100"/>
  <c r="AF31" i="100"/>
  <c r="U31" i="100"/>
  <c r="T31" i="100"/>
  <c r="L31" i="100"/>
  <c r="K31" i="100"/>
  <c r="J31" i="100"/>
  <c r="I31" i="100"/>
  <c r="A31" i="100"/>
  <c r="AL30" i="100"/>
  <c r="AI30" i="100"/>
  <c r="AH30" i="100"/>
  <c r="AG30" i="100"/>
  <c r="AF30" i="100"/>
  <c r="U30" i="100"/>
  <c r="T30" i="100"/>
  <c r="L30" i="100"/>
  <c r="K30" i="100"/>
  <c r="J30" i="100"/>
  <c r="I30" i="100"/>
  <c r="A30" i="100"/>
  <c r="AL29" i="100"/>
  <c r="AI29" i="100"/>
  <c r="AH29" i="100"/>
  <c r="AG29" i="100"/>
  <c r="AF29" i="100"/>
  <c r="U29" i="100"/>
  <c r="T29" i="100"/>
  <c r="L29" i="100"/>
  <c r="K29" i="100"/>
  <c r="J29" i="100"/>
  <c r="I29" i="100"/>
  <c r="A29" i="100"/>
  <c r="AL28" i="100"/>
  <c r="AI28" i="100"/>
  <c r="AH28" i="100"/>
  <c r="AG28" i="100"/>
  <c r="AF28" i="100"/>
  <c r="U28" i="100"/>
  <c r="T28" i="100"/>
  <c r="L28" i="100"/>
  <c r="K28" i="100"/>
  <c r="J28" i="100"/>
  <c r="I28" i="100"/>
  <c r="A28" i="100"/>
  <c r="AL27" i="100"/>
  <c r="AI27" i="100"/>
  <c r="AH27" i="100"/>
  <c r="AG27" i="100"/>
  <c r="AF27" i="100"/>
  <c r="U27" i="100"/>
  <c r="T27" i="100"/>
  <c r="L27" i="100"/>
  <c r="K27" i="100"/>
  <c r="J27" i="100"/>
  <c r="I27" i="100"/>
  <c r="A27" i="100"/>
  <c r="AL26" i="100"/>
  <c r="AI26" i="100"/>
  <c r="AH26" i="100"/>
  <c r="AG26" i="100"/>
  <c r="AF26" i="100"/>
  <c r="U26" i="100"/>
  <c r="T26" i="100"/>
  <c r="L26" i="100"/>
  <c r="K26" i="100"/>
  <c r="J26" i="100"/>
  <c r="I26" i="100"/>
  <c r="A26" i="100"/>
  <c r="AL25" i="100"/>
  <c r="AI25" i="100"/>
  <c r="AH25" i="100"/>
  <c r="AG25" i="100"/>
  <c r="AF25" i="100"/>
  <c r="U25" i="100"/>
  <c r="T25" i="100"/>
  <c r="L25" i="100"/>
  <c r="K25" i="100"/>
  <c r="J25" i="100"/>
  <c r="I25" i="100"/>
  <c r="A25" i="100"/>
  <c r="AL24" i="100"/>
  <c r="AI24" i="100"/>
  <c r="AH24" i="100"/>
  <c r="AG24" i="100"/>
  <c r="AF24" i="100"/>
  <c r="U24" i="100"/>
  <c r="T24" i="100"/>
  <c r="L24" i="100"/>
  <c r="K24" i="100"/>
  <c r="J24" i="100"/>
  <c r="I24" i="100"/>
  <c r="A24" i="100"/>
  <c r="AL23" i="100"/>
  <c r="AI23" i="100"/>
  <c r="AH23" i="100"/>
  <c r="AG23" i="100"/>
  <c r="AF23" i="100"/>
  <c r="U23" i="100"/>
  <c r="T23" i="100"/>
  <c r="L23" i="100"/>
  <c r="K23" i="100"/>
  <c r="J23" i="100"/>
  <c r="I23" i="100"/>
  <c r="A23" i="100"/>
  <c r="AL22" i="100"/>
  <c r="AI22" i="100"/>
  <c r="AH22" i="100"/>
  <c r="AG22" i="100"/>
  <c r="AF22" i="100"/>
  <c r="U22" i="100"/>
  <c r="T22" i="100"/>
  <c r="L22" i="100"/>
  <c r="K22" i="100"/>
  <c r="J22" i="100"/>
  <c r="I22" i="100"/>
  <c r="A22" i="100"/>
  <c r="AL21" i="100"/>
  <c r="AI21" i="100"/>
  <c r="AH21" i="100"/>
  <c r="AG21" i="100"/>
  <c r="AF21" i="100"/>
  <c r="U21" i="100"/>
  <c r="T21" i="100"/>
  <c r="L21" i="100"/>
  <c r="K21" i="100"/>
  <c r="J21" i="100"/>
  <c r="I21" i="100"/>
  <c r="A21" i="100"/>
  <c r="AL20" i="100"/>
  <c r="AI20" i="100"/>
  <c r="AH20" i="100"/>
  <c r="AG20" i="100"/>
  <c r="AF20" i="100"/>
  <c r="U20" i="100"/>
  <c r="T20" i="100"/>
  <c r="L20" i="100"/>
  <c r="K20" i="100"/>
  <c r="J20" i="100"/>
  <c r="I20" i="100"/>
  <c r="A20" i="100"/>
  <c r="AL19" i="100"/>
  <c r="AI19" i="100"/>
  <c r="AH19" i="100"/>
  <c r="AG19" i="100"/>
  <c r="AF19" i="100"/>
  <c r="U19" i="100"/>
  <c r="T19" i="100"/>
  <c r="L19" i="100"/>
  <c r="K19" i="100"/>
  <c r="J19" i="100"/>
  <c r="I19" i="100"/>
  <c r="A19" i="100"/>
  <c r="AL18" i="100"/>
  <c r="AI18" i="100"/>
  <c r="AH18" i="100"/>
  <c r="AG18" i="100"/>
  <c r="AF18" i="100"/>
  <c r="U18" i="100"/>
  <c r="T18" i="100"/>
  <c r="L18" i="100"/>
  <c r="K18" i="100"/>
  <c r="J18" i="100"/>
  <c r="I18" i="100"/>
  <c r="A18" i="100"/>
  <c r="AL17" i="100"/>
  <c r="AI17" i="100"/>
  <c r="AH17" i="100"/>
  <c r="AG17" i="100"/>
  <c r="AF17" i="100"/>
  <c r="U17" i="100"/>
  <c r="T17" i="100"/>
  <c r="L17" i="100"/>
  <c r="K17" i="100"/>
  <c r="J17" i="100"/>
  <c r="I17" i="100"/>
  <c r="A17" i="100"/>
  <c r="AL16" i="100"/>
  <c r="AI16" i="100"/>
  <c r="AH16" i="100"/>
  <c r="AG16" i="100"/>
  <c r="AF16" i="100"/>
  <c r="U16" i="100"/>
  <c r="T16" i="100"/>
  <c r="L16" i="100"/>
  <c r="K16" i="100"/>
  <c r="J16" i="100"/>
  <c r="I16" i="100"/>
  <c r="AL15" i="100"/>
  <c r="AI15" i="100"/>
  <c r="AH15" i="100"/>
  <c r="AG15" i="100"/>
  <c r="AF15" i="100"/>
  <c r="U15" i="100"/>
  <c r="T15" i="100"/>
  <c r="L15" i="100"/>
  <c r="K15" i="100"/>
  <c r="J15" i="100"/>
  <c r="I15" i="100"/>
  <c r="A15" i="100"/>
  <c r="AL14" i="100"/>
  <c r="L14" i="100"/>
  <c r="K14" i="100"/>
  <c r="J14" i="100"/>
  <c r="I14" i="100"/>
  <c r="AL13" i="100"/>
  <c r="L13" i="100"/>
  <c r="K13" i="100"/>
  <c r="J13" i="100"/>
  <c r="I13" i="100"/>
  <c r="AL12" i="100"/>
  <c r="L12" i="100"/>
  <c r="K12" i="100"/>
  <c r="J12" i="100"/>
  <c r="I12" i="100"/>
  <c r="AL11" i="100"/>
  <c r="L11" i="100"/>
  <c r="K11" i="100"/>
  <c r="J11" i="100"/>
  <c r="I11" i="100"/>
  <c r="U10" i="100"/>
  <c r="L10" i="100"/>
  <c r="K10" i="100"/>
  <c r="J10" i="100"/>
  <c r="I10" i="100"/>
  <c r="A10" i="100"/>
  <c r="A11" i="100" s="1"/>
  <c r="A12" i="100" s="1"/>
  <c r="A13" i="100" s="1"/>
  <c r="A14" i="100" s="1"/>
  <c r="D4" i="100"/>
  <c r="AE35" i="115" l="1"/>
  <c r="J6" i="126"/>
  <c r="M6" i="123"/>
  <c r="M6" i="122"/>
  <c r="G16" i="126"/>
  <c r="C11" i="121"/>
  <c r="AE21" i="115"/>
  <c r="AE31" i="115"/>
  <c r="AE30" i="115"/>
  <c r="AE23" i="115"/>
  <c r="AE22" i="115"/>
  <c r="AE32" i="115"/>
  <c r="AE18" i="115"/>
  <c r="AE17" i="115"/>
  <c r="AE27" i="115"/>
  <c r="AE44" i="115"/>
  <c r="AE19" i="115"/>
  <c r="AE16" i="115"/>
  <c r="AE36" i="115"/>
  <c r="AE26" i="115"/>
  <c r="AE28" i="115"/>
  <c r="AE24" i="115"/>
  <c r="AE25" i="115"/>
  <c r="AE39" i="115"/>
  <c r="AE40" i="115"/>
  <c r="AE38" i="115"/>
  <c r="AE37" i="115"/>
  <c r="AE42" i="115"/>
  <c r="AE41" i="115"/>
  <c r="AE43" i="115"/>
  <c r="AE29" i="115"/>
  <c r="AE34" i="115"/>
  <c r="AE33" i="115"/>
  <c r="AE20" i="115"/>
  <c r="H17" i="115"/>
  <c r="J16" i="115"/>
  <c r="K16" i="115" s="1"/>
  <c r="H19" i="122"/>
  <c r="J18" i="122"/>
  <c r="K18" i="122" s="1"/>
  <c r="AE15" i="115"/>
  <c r="M6" i="115"/>
  <c r="AG10" i="100"/>
  <c r="AF10" i="100"/>
  <c r="E10" i="115"/>
  <c r="AF11" i="100"/>
  <c r="AH11" i="100"/>
  <c r="AH12" i="100"/>
  <c r="AG12" i="100"/>
  <c r="AF12" i="100"/>
  <c r="AH10" i="100"/>
  <c r="AI10" i="100" s="1"/>
  <c r="AH14" i="100"/>
  <c r="AI14" i="100" s="1"/>
  <c r="AG14" i="100"/>
  <c r="AF14" i="100"/>
  <c r="AH13" i="100"/>
  <c r="AI13" i="100" s="1"/>
  <c r="AG13" i="100"/>
  <c r="AF13" i="100"/>
  <c r="D11" i="121" l="1"/>
  <c r="G11" i="121"/>
  <c r="F11" i="121"/>
  <c r="K6" i="126"/>
  <c r="N6" i="123"/>
  <c r="N6" i="122"/>
  <c r="O18" i="122" s="1"/>
  <c r="P18" i="122" s="1"/>
  <c r="E15" i="126"/>
  <c r="I15" i="126" s="1"/>
  <c r="H11" i="121" s="1"/>
  <c r="F17" i="126"/>
  <c r="C16" i="126"/>
  <c r="D16" i="126" s="1"/>
  <c r="H16" i="126"/>
  <c r="D16" i="115"/>
  <c r="I17" i="115"/>
  <c r="C17" i="115"/>
  <c r="C13" i="114" s="1"/>
  <c r="U43" i="115"/>
  <c r="V43" i="115" s="1"/>
  <c r="U37" i="115"/>
  <c r="V37" i="115" s="1"/>
  <c r="U25" i="115"/>
  <c r="V25" i="115" s="1"/>
  <c r="U22" i="115"/>
  <c r="V22" i="115" s="1"/>
  <c r="U42" i="115"/>
  <c r="V42" i="115" s="1"/>
  <c r="U31" i="115"/>
  <c r="V31" i="115" s="1"/>
  <c r="U16" i="115"/>
  <c r="V16" i="115" s="1"/>
  <c r="U40" i="115"/>
  <c r="V40" i="115" s="1"/>
  <c r="U38" i="115"/>
  <c r="V38" i="115" s="1"/>
  <c r="U24" i="115"/>
  <c r="V24" i="115" s="1"/>
  <c r="U19" i="115"/>
  <c r="V19" i="115" s="1"/>
  <c r="U36" i="115"/>
  <c r="V36" i="115" s="1"/>
  <c r="U33" i="115"/>
  <c r="V33" i="115" s="1"/>
  <c r="U29" i="115"/>
  <c r="V29" i="115" s="1"/>
  <c r="U26" i="115"/>
  <c r="V26" i="115" s="1"/>
  <c r="U21" i="115"/>
  <c r="V21" i="115" s="1"/>
  <c r="U18" i="115"/>
  <c r="V18" i="115" s="1"/>
  <c r="U17" i="115"/>
  <c r="V17" i="115" s="1"/>
  <c r="U27" i="115"/>
  <c r="V27" i="115" s="1"/>
  <c r="U34" i="115"/>
  <c r="V34" i="115" s="1"/>
  <c r="U44" i="115"/>
  <c r="V44" i="115" s="1"/>
  <c r="U41" i="115"/>
  <c r="V41" i="115" s="1"/>
  <c r="U35" i="115"/>
  <c r="V35" i="115" s="1"/>
  <c r="U32" i="115"/>
  <c r="V32" i="115" s="1"/>
  <c r="U30" i="115"/>
  <c r="V30" i="115" s="1"/>
  <c r="U28" i="115"/>
  <c r="V28" i="115" s="1"/>
  <c r="U23" i="115"/>
  <c r="V23" i="115" s="1"/>
  <c r="U20" i="115"/>
  <c r="V20" i="115" s="1"/>
  <c r="U39" i="115"/>
  <c r="V39" i="115" s="1"/>
  <c r="D18" i="122"/>
  <c r="W18" i="122"/>
  <c r="C19" i="122"/>
  <c r="I19" i="122"/>
  <c r="J6" i="115"/>
  <c r="L6" i="115"/>
  <c r="W15" i="115" s="1"/>
  <c r="U15" i="115"/>
  <c r="V15" i="115" s="1"/>
  <c r="AI11" i="100"/>
  <c r="K6" i="115"/>
  <c r="AI12" i="100"/>
  <c r="O35" i="123" l="1"/>
  <c r="P35" i="123" s="1"/>
  <c r="O36" i="123"/>
  <c r="P36" i="123" s="1"/>
  <c r="O37" i="123"/>
  <c r="P37" i="123" s="1"/>
  <c r="O38" i="123"/>
  <c r="P38" i="123" s="1"/>
  <c r="F18" i="122"/>
  <c r="E11" i="121"/>
  <c r="O15" i="122"/>
  <c r="P15" i="122" s="1"/>
  <c r="E15" i="122" s="1"/>
  <c r="O16" i="122"/>
  <c r="P16" i="122" s="1"/>
  <c r="O17" i="122"/>
  <c r="P17" i="122" s="1"/>
  <c r="O15" i="123"/>
  <c r="P15" i="123" s="1"/>
  <c r="O16" i="123"/>
  <c r="P16" i="123" s="1"/>
  <c r="O17" i="123"/>
  <c r="P17" i="123" s="1"/>
  <c r="O18" i="123"/>
  <c r="P18" i="123" s="1"/>
  <c r="O19" i="123"/>
  <c r="P19" i="123" s="1"/>
  <c r="O20" i="123"/>
  <c r="P20" i="123" s="1"/>
  <c r="O21" i="123"/>
  <c r="P21" i="123" s="1"/>
  <c r="O22" i="123"/>
  <c r="P22" i="123" s="1"/>
  <c r="O23" i="123"/>
  <c r="P23" i="123" s="1"/>
  <c r="O24" i="123"/>
  <c r="P24" i="123" s="1"/>
  <c r="O25" i="123"/>
  <c r="P25" i="123" s="1"/>
  <c r="O26" i="123"/>
  <c r="P26" i="123" s="1"/>
  <c r="O27" i="123"/>
  <c r="P27" i="123" s="1"/>
  <c r="O28" i="123"/>
  <c r="P28" i="123" s="1"/>
  <c r="O29" i="123"/>
  <c r="P29" i="123" s="1"/>
  <c r="O30" i="123"/>
  <c r="P30" i="123" s="1"/>
  <c r="O31" i="123"/>
  <c r="P31" i="123" s="1"/>
  <c r="O32" i="123"/>
  <c r="P32" i="123" s="1"/>
  <c r="O33" i="123"/>
  <c r="P33" i="123" s="1"/>
  <c r="O34" i="123"/>
  <c r="P34" i="123" s="1"/>
  <c r="G17" i="126"/>
  <c r="P15" i="126"/>
  <c r="S15" i="126" s="1"/>
  <c r="J15" i="126"/>
  <c r="I11" i="121" s="1"/>
  <c r="L15" i="126"/>
  <c r="M15" i="126" s="1"/>
  <c r="C12" i="121"/>
  <c r="O15" i="115"/>
  <c r="P15" i="115" s="1"/>
  <c r="H18" i="115"/>
  <c r="J17" i="115"/>
  <c r="K17" i="115" s="1"/>
  <c r="O16" i="115"/>
  <c r="P16" i="115" s="1"/>
  <c r="W16" i="115"/>
  <c r="H20" i="122"/>
  <c r="J19" i="122"/>
  <c r="K19" i="122" s="1"/>
  <c r="E18" i="122"/>
  <c r="F12" i="121" l="1"/>
  <c r="D12" i="121"/>
  <c r="G12" i="121"/>
  <c r="F17" i="122"/>
  <c r="E17" i="122"/>
  <c r="L17" i="122" s="1"/>
  <c r="F16" i="122"/>
  <c r="E16" i="122"/>
  <c r="F15" i="122"/>
  <c r="K15" i="126"/>
  <c r="J11" i="121" s="1"/>
  <c r="E16" i="126"/>
  <c r="E12" i="121" s="1"/>
  <c r="F18" i="126"/>
  <c r="C17" i="126"/>
  <c r="D17" i="126" s="1"/>
  <c r="H17" i="126"/>
  <c r="W17" i="115"/>
  <c r="O17" i="115"/>
  <c r="P17" i="115" s="1"/>
  <c r="D17" i="115"/>
  <c r="I18" i="115"/>
  <c r="C18" i="115"/>
  <c r="C14" i="114" s="1"/>
  <c r="D19" i="122"/>
  <c r="W19" i="122"/>
  <c r="O19" i="122"/>
  <c r="P19" i="122" s="1"/>
  <c r="L18" i="122"/>
  <c r="I20" i="122"/>
  <c r="C20" i="122"/>
  <c r="L16" i="122" l="1"/>
  <c r="L15" i="122"/>
  <c r="M15" i="122" s="1"/>
  <c r="N15" i="122" s="1"/>
  <c r="Q16" i="122"/>
  <c r="R16" i="122" s="1"/>
  <c r="M16" i="122"/>
  <c r="N16" i="122" s="1"/>
  <c r="M17" i="122"/>
  <c r="N17" i="122" s="1"/>
  <c r="Q17" i="122"/>
  <c r="R17" i="122" s="1"/>
  <c r="I16" i="126"/>
  <c r="H12" i="121" s="1"/>
  <c r="AM15" i="126"/>
  <c r="AA15" i="126"/>
  <c r="AN15" i="126"/>
  <c r="Y15" i="126"/>
  <c r="G18" i="126"/>
  <c r="C13" i="121"/>
  <c r="H19" i="115"/>
  <c r="J18" i="115"/>
  <c r="K18" i="115" s="1"/>
  <c r="E19" i="122"/>
  <c r="F19" i="122"/>
  <c r="H21" i="122"/>
  <c r="J20" i="122"/>
  <c r="K20" i="122" s="1"/>
  <c r="M18" i="122"/>
  <c r="N18" i="122" s="1"/>
  <c r="Q18" i="122"/>
  <c r="R18" i="122" s="1"/>
  <c r="F13" i="114"/>
  <c r="F12" i="114"/>
  <c r="G12" i="114"/>
  <c r="G13" i="114"/>
  <c r="Q15" i="122" l="1"/>
  <c r="R15" i="122" s="1"/>
  <c r="G15" i="123" s="1"/>
  <c r="G16" i="122"/>
  <c r="F16" i="123" s="1"/>
  <c r="E16" i="123"/>
  <c r="G17" i="122"/>
  <c r="F17" i="123" s="1"/>
  <c r="E17" i="123"/>
  <c r="L17" i="123" s="1"/>
  <c r="E18" i="123"/>
  <c r="G18" i="122"/>
  <c r="F18" i="123" s="1"/>
  <c r="G13" i="121"/>
  <c r="F13" i="121"/>
  <c r="D13" i="121"/>
  <c r="E17" i="126"/>
  <c r="E13" i="121" s="1"/>
  <c r="L16" i="123"/>
  <c r="S16" i="122"/>
  <c r="T16" i="122" s="1"/>
  <c r="AJ15" i="126"/>
  <c r="AB15" i="126"/>
  <c r="F19" i="126"/>
  <c r="C18" i="126"/>
  <c r="D18" i="126" s="1"/>
  <c r="H18" i="126"/>
  <c r="P16" i="126"/>
  <c r="L16" i="126"/>
  <c r="M16" i="126" s="1"/>
  <c r="J16" i="126"/>
  <c r="I12" i="121" s="1"/>
  <c r="W18" i="115"/>
  <c r="O18" i="115"/>
  <c r="P18" i="115" s="1"/>
  <c r="D18" i="115"/>
  <c r="I19" i="115"/>
  <c r="C19" i="115"/>
  <c r="C15" i="114" s="1"/>
  <c r="W20" i="122"/>
  <c r="O20" i="122"/>
  <c r="P20" i="122" s="1"/>
  <c r="D20" i="122"/>
  <c r="L19" i="122"/>
  <c r="I21" i="122"/>
  <c r="C21" i="122"/>
  <c r="F14" i="114"/>
  <c r="E15" i="123" l="1"/>
  <c r="G15" i="122"/>
  <c r="F15" i="123" s="1"/>
  <c r="L18" i="123"/>
  <c r="Q18" i="123" s="1"/>
  <c r="R18" i="123" s="1"/>
  <c r="E18" i="115" s="1"/>
  <c r="S16" i="126"/>
  <c r="I17" i="126"/>
  <c r="H13" i="121" s="1"/>
  <c r="S17" i="122"/>
  <c r="T17" i="122" s="1"/>
  <c r="S18" i="122"/>
  <c r="T18" i="122" s="1"/>
  <c r="Q16" i="123"/>
  <c r="R16" i="123" s="1"/>
  <c r="M16" i="123"/>
  <c r="N16" i="123" s="1"/>
  <c r="Q17" i="123"/>
  <c r="R17" i="123" s="1"/>
  <c r="M17" i="123"/>
  <c r="N17" i="123" s="1"/>
  <c r="C14" i="121"/>
  <c r="G19" i="126"/>
  <c r="K16" i="126"/>
  <c r="J12" i="121" s="1"/>
  <c r="H20" i="115"/>
  <c r="J19" i="115"/>
  <c r="K19" i="115" s="1"/>
  <c r="E20" i="122"/>
  <c r="F20" i="122"/>
  <c r="H22" i="122"/>
  <c r="J21" i="122"/>
  <c r="K21" i="122" s="1"/>
  <c r="Q19" i="122"/>
  <c r="R19" i="122" s="1"/>
  <c r="M19" i="122"/>
  <c r="N19" i="122" s="1"/>
  <c r="G14" i="114"/>
  <c r="S15" i="122" l="1"/>
  <c r="T15" i="122" s="1"/>
  <c r="L15" i="123"/>
  <c r="P17" i="126"/>
  <c r="S17" i="126" s="1"/>
  <c r="L17" i="126"/>
  <c r="M17" i="126" s="1"/>
  <c r="J17" i="126"/>
  <c r="I13" i="121" s="1"/>
  <c r="M18" i="123"/>
  <c r="N18" i="123" s="1"/>
  <c r="E17" i="115"/>
  <c r="D13" i="114" s="1"/>
  <c r="G17" i="123"/>
  <c r="F17" i="115" s="1"/>
  <c r="E16" i="115"/>
  <c r="D12" i="114" s="1"/>
  <c r="G16" i="123"/>
  <c r="F16" i="115" s="1"/>
  <c r="E19" i="123"/>
  <c r="G19" i="122"/>
  <c r="F19" i="123" s="1"/>
  <c r="G18" i="123"/>
  <c r="F18" i="115" s="1"/>
  <c r="L18" i="115" s="1"/>
  <c r="Q18" i="115" s="1"/>
  <c r="R18" i="115" s="1"/>
  <c r="F15" i="115"/>
  <c r="G14" i="121"/>
  <c r="F14" i="121"/>
  <c r="D14" i="121"/>
  <c r="E18" i="126"/>
  <c r="E14" i="121" s="1"/>
  <c r="C19" i="126"/>
  <c r="D19" i="126" s="1"/>
  <c r="F20" i="126"/>
  <c r="H19" i="126"/>
  <c r="AA16" i="126"/>
  <c r="AN16" i="126"/>
  <c r="AM16" i="126"/>
  <c r="Y16" i="126"/>
  <c r="I20" i="115"/>
  <c r="C20" i="115"/>
  <c r="C16" i="114" s="1"/>
  <c r="L20" i="122"/>
  <c r="O19" i="115"/>
  <c r="P19" i="115" s="1"/>
  <c r="W19" i="115"/>
  <c r="D19" i="115"/>
  <c r="S19" i="122"/>
  <c r="T19" i="122" s="1"/>
  <c r="W21" i="122"/>
  <c r="D21" i="122"/>
  <c r="O21" i="122"/>
  <c r="P21" i="122" s="1"/>
  <c r="C22" i="122"/>
  <c r="I22" i="122"/>
  <c r="D14" i="114"/>
  <c r="I34" i="17"/>
  <c r="I33" i="17"/>
  <c r="I32" i="17"/>
  <c r="I31" i="17"/>
  <c r="I30" i="17"/>
  <c r="I29" i="17"/>
  <c r="I28" i="17"/>
  <c r="I27" i="17"/>
  <c r="I26" i="17"/>
  <c r="I25" i="17"/>
  <c r="I24" i="17"/>
  <c r="I23" i="17"/>
  <c r="K17" i="126" l="1"/>
  <c r="J13" i="121" s="1"/>
  <c r="L16" i="115"/>
  <c r="Q15" i="123"/>
  <c r="R15" i="123" s="1"/>
  <c r="E15" i="115" s="1"/>
  <c r="D11" i="114" s="1"/>
  <c r="M15" i="123"/>
  <c r="N15" i="123" s="1"/>
  <c r="S17" i="123"/>
  <c r="T17" i="123" s="1"/>
  <c r="S16" i="123"/>
  <c r="T16" i="123" s="1"/>
  <c r="S15" i="123"/>
  <c r="T15" i="123" s="1"/>
  <c r="L17" i="115"/>
  <c r="Q17" i="115" s="1"/>
  <c r="R17" i="115" s="1"/>
  <c r="S18" i="123"/>
  <c r="T18" i="123" s="1"/>
  <c r="L19" i="123"/>
  <c r="M19" i="123" s="1"/>
  <c r="N19" i="123" s="1"/>
  <c r="M18" i="115"/>
  <c r="N18" i="115" s="1"/>
  <c r="AF18" i="115" s="1"/>
  <c r="K14" i="114"/>
  <c r="G18" i="115"/>
  <c r="S18" i="115" s="1"/>
  <c r="T18" i="115" s="1"/>
  <c r="M16" i="115"/>
  <c r="Q16" i="115"/>
  <c r="R16" i="115" s="1"/>
  <c r="H12" i="114"/>
  <c r="AJ16" i="126"/>
  <c r="AB16" i="126"/>
  <c r="C15" i="121"/>
  <c r="AM17" i="126"/>
  <c r="AN17" i="126"/>
  <c r="AA17" i="126"/>
  <c r="Y17" i="126"/>
  <c r="I18" i="126"/>
  <c r="H14" i="121" s="1"/>
  <c r="G20" i="126"/>
  <c r="H21" i="115"/>
  <c r="J20" i="115"/>
  <c r="K20" i="115" s="1"/>
  <c r="F21" i="122"/>
  <c r="E21" i="122"/>
  <c r="Q20" i="122"/>
  <c r="R20" i="122" s="1"/>
  <c r="M20" i="122"/>
  <c r="N20" i="122" s="1"/>
  <c r="H23" i="122"/>
  <c r="J22" i="122"/>
  <c r="K22" i="122" s="1"/>
  <c r="F15" i="114"/>
  <c r="H14" i="114"/>
  <c r="G15" i="114"/>
  <c r="L15" i="115" l="1"/>
  <c r="M15" i="115" s="1"/>
  <c r="N15" i="115" s="1"/>
  <c r="AH15" i="115" s="1"/>
  <c r="H13" i="114"/>
  <c r="M17" i="115"/>
  <c r="Q19" i="123"/>
  <c r="R19" i="123" s="1"/>
  <c r="E19" i="115" s="1"/>
  <c r="D15" i="114" s="1"/>
  <c r="AT18" i="115"/>
  <c r="AH18" i="115"/>
  <c r="AQ18" i="115" s="1"/>
  <c r="AU18" i="115"/>
  <c r="G20" i="122"/>
  <c r="S20" i="122" s="1"/>
  <c r="T20" i="122" s="1"/>
  <c r="E20" i="123"/>
  <c r="K13" i="114"/>
  <c r="G17" i="115"/>
  <c r="K12" i="114"/>
  <c r="G16" i="115"/>
  <c r="G15" i="121"/>
  <c r="F15" i="121"/>
  <c r="D15" i="121"/>
  <c r="N17" i="115"/>
  <c r="I13" i="114"/>
  <c r="E19" i="126"/>
  <c r="I19" i="126" s="1"/>
  <c r="H15" i="121" s="1"/>
  <c r="N16" i="115"/>
  <c r="I12" i="114"/>
  <c r="P18" i="126"/>
  <c r="J18" i="126"/>
  <c r="I14" i="121" s="1"/>
  <c r="L18" i="126"/>
  <c r="M18" i="126" s="1"/>
  <c r="C20" i="126"/>
  <c r="D20" i="126" s="1"/>
  <c r="F21" i="126"/>
  <c r="H20" i="126"/>
  <c r="AJ17" i="126"/>
  <c r="AB17" i="126"/>
  <c r="Z18" i="115"/>
  <c r="I21" i="115"/>
  <c r="C21" i="115"/>
  <c r="C17" i="114" s="1"/>
  <c r="W20" i="115"/>
  <c r="O20" i="115"/>
  <c r="P20" i="115" s="1"/>
  <c r="D20" i="115"/>
  <c r="L21" i="122"/>
  <c r="Q21" i="122" s="1"/>
  <c r="R21" i="122" s="1"/>
  <c r="C23" i="122"/>
  <c r="I23" i="122"/>
  <c r="W22" i="122"/>
  <c r="O22" i="122"/>
  <c r="P22" i="122" s="1"/>
  <c r="D22" i="122"/>
  <c r="F16" i="114"/>
  <c r="G16" i="114"/>
  <c r="I14" i="114"/>
  <c r="J14" i="114"/>
  <c r="E14" i="114"/>
  <c r="K10" i="30"/>
  <c r="K9" i="30"/>
  <c r="K8" i="30"/>
  <c r="K7" i="30"/>
  <c r="K6" i="30"/>
  <c r="G19" i="123" l="1"/>
  <c r="F19" i="115" s="1"/>
  <c r="L19" i="115" s="1"/>
  <c r="M19" i="115" s="1"/>
  <c r="N19" i="115" s="1"/>
  <c r="AH19" i="115" s="1"/>
  <c r="AI18" i="115"/>
  <c r="G21" i="122"/>
  <c r="S21" i="122" s="1"/>
  <c r="T21" i="122" s="1"/>
  <c r="E21" i="123"/>
  <c r="Q19" i="115"/>
  <c r="R19" i="115" s="1"/>
  <c r="K15" i="114" s="1"/>
  <c r="S18" i="126"/>
  <c r="F20" i="123"/>
  <c r="L20" i="123" s="1"/>
  <c r="E15" i="121"/>
  <c r="AF16" i="115"/>
  <c r="AT16" i="115"/>
  <c r="AU16" i="115"/>
  <c r="AH16" i="115"/>
  <c r="J12" i="114"/>
  <c r="S16" i="115"/>
  <c r="T16" i="115" s="1"/>
  <c r="E12" i="114"/>
  <c r="S17" i="115"/>
  <c r="T17" i="115" s="1"/>
  <c r="E13" i="114"/>
  <c r="AF17" i="115"/>
  <c r="AH17" i="115"/>
  <c r="AU17" i="115"/>
  <c r="AT17" i="115"/>
  <c r="J13" i="114"/>
  <c r="L19" i="126"/>
  <c r="M19" i="126" s="1"/>
  <c r="P19" i="126"/>
  <c r="S19" i="126" s="1"/>
  <c r="J19" i="126"/>
  <c r="I15" i="121" s="1"/>
  <c r="G21" i="126"/>
  <c r="K18" i="126"/>
  <c r="J14" i="121" s="1"/>
  <c r="C16" i="121"/>
  <c r="E20" i="126"/>
  <c r="M21" i="122"/>
  <c r="N21" i="122" s="1"/>
  <c r="H22" i="115"/>
  <c r="J21" i="115"/>
  <c r="K21" i="115" s="1"/>
  <c r="H15" i="114"/>
  <c r="H24" i="122"/>
  <c r="J23" i="122"/>
  <c r="K23" i="122" s="1"/>
  <c r="F22" i="122"/>
  <c r="E22" i="122"/>
  <c r="AT19" i="115" l="1"/>
  <c r="AU19" i="115"/>
  <c r="S19" i="123"/>
  <c r="T19" i="123" s="1"/>
  <c r="AF19" i="115"/>
  <c r="G19" i="115"/>
  <c r="S19" i="115" s="1"/>
  <c r="T19" i="115" s="1"/>
  <c r="M20" i="123"/>
  <c r="N20" i="123" s="1"/>
  <c r="Q20" i="123"/>
  <c r="R20" i="123" s="1"/>
  <c r="Z17" i="115"/>
  <c r="Z16" i="115"/>
  <c r="F21" i="123"/>
  <c r="L21" i="123" s="1"/>
  <c r="G16" i="121"/>
  <c r="E16" i="121"/>
  <c r="D16" i="121"/>
  <c r="F16" i="121"/>
  <c r="AQ16" i="115"/>
  <c r="AI16" i="115"/>
  <c r="AI17" i="115"/>
  <c r="AQ17" i="115"/>
  <c r="I20" i="126"/>
  <c r="H16" i="121" s="1"/>
  <c r="C21" i="126"/>
  <c r="D21" i="126" s="1"/>
  <c r="F22" i="126"/>
  <c r="H21" i="126"/>
  <c r="K19" i="126"/>
  <c r="J15" i="121" s="1"/>
  <c r="AM18" i="126"/>
  <c r="AA18" i="126"/>
  <c r="AN18" i="126"/>
  <c r="Y18" i="126"/>
  <c r="Z19" i="115"/>
  <c r="AI19" i="115"/>
  <c r="AQ19" i="115"/>
  <c r="O21" i="115"/>
  <c r="P21" i="115" s="1"/>
  <c r="W21" i="115"/>
  <c r="D21" i="115"/>
  <c r="I22" i="115"/>
  <c r="C22" i="115"/>
  <c r="C18" i="114" s="1"/>
  <c r="I15" i="114"/>
  <c r="J15" i="114"/>
  <c r="D23" i="122"/>
  <c r="W23" i="122"/>
  <c r="O23" i="122"/>
  <c r="P23" i="122" s="1"/>
  <c r="C24" i="122"/>
  <c r="I24" i="122"/>
  <c r="L22" i="122"/>
  <c r="I2" i="3"/>
  <c r="E15" i="114" l="1"/>
  <c r="M21" i="123"/>
  <c r="N21" i="123" s="1"/>
  <c r="Q21" i="123"/>
  <c r="R21" i="123" s="1"/>
  <c r="G21" i="123" s="1"/>
  <c r="E20" i="115"/>
  <c r="G20" i="123"/>
  <c r="AJ18" i="126"/>
  <c r="AB18" i="126"/>
  <c r="G22" i="126"/>
  <c r="C17" i="121"/>
  <c r="E21" i="126"/>
  <c r="AM19" i="126"/>
  <c r="AN19" i="126"/>
  <c r="AA19" i="126"/>
  <c r="Y19" i="126"/>
  <c r="P20" i="126"/>
  <c r="L20" i="126"/>
  <c r="M20" i="126" s="1"/>
  <c r="J20" i="126"/>
  <c r="I16" i="121" s="1"/>
  <c r="H23" i="115"/>
  <c r="J22" i="115"/>
  <c r="K22" i="115" s="1"/>
  <c r="M22" i="122"/>
  <c r="N22" i="122" s="1"/>
  <c r="Q22" i="122"/>
  <c r="R22" i="122" s="1"/>
  <c r="H25" i="122"/>
  <c r="J24" i="122"/>
  <c r="K24" i="122" s="1"/>
  <c r="F23" i="122"/>
  <c r="E23" i="122"/>
  <c r="F17" i="114"/>
  <c r="G17" i="114"/>
  <c r="I7" i="17"/>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E21" i="115" l="1"/>
  <c r="V6" i="126"/>
  <c r="V7" i="126" s="1"/>
  <c r="AC6" i="115"/>
  <c r="AC7" i="115" s="1"/>
  <c r="G22" i="122"/>
  <c r="S22" i="122" s="1"/>
  <c r="T22" i="122" s="1"/>
  <c r="E22" i="123"/>
  <c r="F20" i="115"/>
  <c r="L20" i="115" s="1"/>
  <c r="S20" i="123"/>
  <c r="T20" i="123" s="1"/>
  <c r="F21" i="115"/>
  <c r="S21" i="123"/>
  <c r="T21" i="123" s="1"/>
  <c r="S20" i="126"/>
  <c r="D16" i="114"/>
  <c r="F17" i="121"/>
  <c r="E17" i="121"/>
  <c r="D17" i="121"/>
  <c r="G17" i="121"/>
  <c r="K20" i="126"/>
  <c r="J16" i="121" s="1"/>
  <c r="AJ19" i="126"/>
  <c r="AB19" i="126"/>
  <c r="C22" i="126"/>
  <c r="D22" i="126" s="1"/>
  <c r="F23" i="126"/>
  <c r="H22" i="126"/>
  <c r="I21" i="126"/>
  <c r="H17" i="121" s="1"/>
  <c r="D17" i="114"/>
  <c r="W22" i="115"/>
  <c r="O22" i="115"/>
  <c r="P22" i="115" s="1"/>
  <c r="D22" i="115"/>
  <c r="I23" i="115"/>
  <c r="C23" i="115"/>
  <c r="C19" i="114" s="1"/>
  <c r="F18" i="114"/>
  <c r="L23" i="122"/>
  <c r="M23" i="122" s="1"/>
  <c r="N23" i="122" s="1"/>
  <c r="D24" i="122"/>
  <c r="W24" i="122"/>
  <c r="O24" i="122"/>
  <c r="P24" i="122" s="1"/>
  <c r="I25" i="122"/>
  <c r="C25" i="122"/>
  <c r="L21" i="115" l="1"/>
  <c r="Q21" i="115" s="1"/>
  <c r="R21" i="115" s="1"/>
  <c r="G21" i="115" s="1"/>
  <c r="S21" i="115" s="1"/>
  <c r="T21" i="115" s="1"/>
  <c r="Z21" i="115" s="1"/>
  <c r="H16" i="114"/>
  <c r="M20" i="115"/>
  <c r="Q20" i="115"/>
  <c r="R20" i="115" s="1"/>
  <c r="F22" i="123"/>
  <c r="L22" i="123" s="1"/>
  <c r="K17" i="114"/>
  <c r="L21" i="126"/>
  <c r="M21" i="126" s="1"/>
  <c r="J21" i="126"/>
  <c r="I17" i="121" s="1"/>
  <c r="P21" i="126"/>
  <c r="G23" i="126"/>
  <c r="C18" i="121"/>
  <c r="AA20" i="126"/>
  <c r="AM20" i="126"/>
  <c r="AN20" i="126"/>
  <c r="Y20" i="126"/>
  <c r="H24" i="115"/>
  <c r="J23" i="115"/>
  <c r="K23" i="115" s="1"/>
  <c r="G18" i="114"/>
  <c r="H17" i="114"/>
  <c r="Q23" i="122"/>
  <c r="R23" i="122" s="1"/>
  <c r="E24" i="122"/>
  <c r="F24" i="122"/>
  <c r="H26" i="122"/>
  <c r="J25" i="122"/>
  <c r="K25" i="122" s="1"/>
  <c r="M21" i="115" l="1"/>
  <c r="N21" i="115" s="1"/>
  <c r="M22" i="123"/>
  <c r="N22" i="123" s="1"/>
  <c r="Q22" i="123"/>
  <c r="R22" i="123" s="1"/>
  <c r="G23" i="122"/>
  <c r="S23" i="122" s="1"/>
  <c r="T23" i="122" s="1"/>
  <c r="E23" i="123"/>
  <c r="G20" i="115"/>
  <c r="K16" i="114"/>
  <c r="S21" i="126"/>
  <c r="N20" i="115"/>
  <c r="I16" i="114"/>
  <c r="D18" i="121"/>
  <c r="G18" i="121"/>
  <c r="F18" i="121"/>
  <c r="E22" i="126"/>
  <c r="I22" i="126" s="1"/>
  <c r="H18" i="121" s="1"/>
  <c r="K21" i="126"/>
  <c r="J17" i="121" s="1"/>
  <c r="AB20" i="126"/>
  <c r="AJ20" i="126"/>
  <c r="F24" i="126"/>
  <c r="C23" i="126"/>
  <c r="D23" i="126" s="1"/>
  <c r="H23" i="126"/>
  <c r="I24" i="115"/>
  <c r="C24" i="115"/>
  <c r="C20" i="114" s="1"/>
  <c r="W23" i="115"/>
  <c r="O23" i="115"/>
  <c r="P23" i="115" s="1"/>
  <c r="D23" i="115"/>
  <c r="I17" i="114"/>
  <c r="L24" i="122"/>
  <c r="Q24" i="122" s="1"/>
  <c r="R24" i="122" s="1"/>
  <c r="W25" i="122"/>
  <c r="O25" i="122"/>
  <c r="P25" i="122" s="1"/>
  <c r="D25" i="122"/>
  <c r="C26" i="122"/>
  <c r="I26" i="122"/>
  <c r="F19" i="114"/>
  <c r="J17" i="114"/>
  <c r="E17" i="114"/>
  <c r="G19" i="114"/>
  <c r="AU21" i="115" l="1"/>
  <c r="AF21" i="115"/>
  <c r="AH21" i="115"/>
  <c r="AT21" i="115"/>
  <c r="E18" i="121"/>
  <c r="S20" i="115"/>
  <c r="T20" i="115" s="1"/>
  <c r="E16" i="114"/>
  <c r="G24" i="122"/>
  <c r="S24" i="122" s="1"/>
  <c r="T24" i="122" s="1"/>
  <c r="E24" i="123"/>
  <c r="F23" i="123"/>
  <c r="L23" i="123" s="1"/>
  <c r="J16" i="114"/>
  <c r="AT20" i="115"/>
  <c r="AF20" i="115"/>
  <c r="AH20" i="115"/>
  <c r="AU20" i="115"/>
  <c r="G22" i="123"/>
  <c r="E22" i="115"/>
  <c r="C19" i="121"/>
  <c r="E23" i="126"/>
  <c r="G24" i="126"/>
  <c r="P22" i="126"/>
  <c r="J22" i="126"/>
  <c r="I18" i="121" s="1"/>
  <c r="L22" i="126"/>
  <c r="M22" i="126" s="1"/>
  <c r="AM21" i="126"/>
  <c r="AN21" i="126"/>
  <c r="AA21" i="126"/>
  <c r="Y21" i="126"/>
  <c r="H25" i="115"/>
  <c r="J24" i="115"/>
  <c r="K24" i="115" s="1"/>
  <c r="M24" i="122"/>
  <c r="N24" i="122" s="1"/>
  <c r="H27" i="122"/>
  <c r="J26" i="122"/>
  <c r="K26" i="122" s="1"/>
  <c r="F25" i="122"/>
  <c r="E25" i="122"/>
  <c r="L4" i="3"/>
  <c r="K4" i="3"/>
  <c r="K8" i="3" s="1"/>
  <c r="I4" i="3"/>
  <c r="AQ21" i="115" l="1"/>
  <c r="AI21" i="115"/>
  <c r="F22" i="115"/>
  <c r="S22" i="123"/>
  <c r="T22" i="123" s="1"/>
  <c r="F24" i="123"/>
  <c r="L24" i="123" s="1"/>
  <c r="M23" i="123"/>
  <c r="N23" i="123" s="1"/>
  <c r="Q23" i="123"/>
  <c r="R23" i="123" s="1"/>
  <c r="S22" i="126"/>
  <c r="AI20" i="115"/>
  <c r="AQ20" i="115"/>
  <c r="Z20" i="115"/>
  <c r="L22" i="115"/>
  <c r="D18" i="114"/>
  <c r="E19" i="121"/>
  <c r="D19" i="121"/>
  <c r="G19" i="121"/>
  <c r="F19" i="121"/>
  <c r="F25" i="126"/>
  <c r="C24" i="126"/>
  <c r="D24" i="126" s="1"/>
  <c r="H24" i="126"/>
  <c r="I23" i="126"/>
  <c r="H19" i="121" s="1"/>
  <c r="AJ21" i="126"/>
  <c r="AB21" i="126"/>
  <c r="K22" i="126"/>
  <c r="J18" i="121" s="1"/>
  <c r="W24" i="115"/>
  <c r="O24" i="115"/>
  <c r="P24" i="115" s="1"/>
  <c r="D24" i="115"/>
  <c r="I25" i="115"/>
  <c r="C25" i="115"/>
  <c r="C21" i="114" s="1"/>
  <c r="L25" i="122"/>
  <c r="Q25" i="122" s="1"/>
  <c r="R25" i="122" s="1"/>
  <c r="W26" i="122"/>
  <c r="O26" i="122"/>
  <c r="P26" i="122" s="1"/>
  <c r="D26" i="122"/>
  <c r="C27" i="122"/>
  <c r="I27" i="122"/>
  <c r="F20" i="114"/>
  <c r="G20" i="114"/>
  <c r="I54" i="3"/>
  <c r="I51" i="3"/>
  <c r="I50" i="3"/>
  <c r="I47" i="3"/>
  <c r="I57" i="3"/>
  <c r="I56" i="3"/>
  <c r="I48" i="3"/>
  <c r="I53" i="3"/>
  <c r="I55" i="3"/>
  <c r="I52" i="3"/>
  <c r="I49" i="3"/>
  <c r="K21" i="3"/>
  <c r="K56" i="3"/>
  <c r="K48" i="3"/>
  <c r="K53" i="3"/>
  <c r="K54" i="3"/>
  <c r="K51" i="3"/>
  <c r="K50" i="3"/>
  <c r="K47" i="3"/>
  <c r="K55" i="3"/>
  <c r="K52" i="3"/>
  <c r="K57" i="3"/>
  <c r="K49" i="3"/>
  <c r="J4" i="3"/>
  <c r="J30" i="3" s="1"/>
  <c r="I43" i="3"/>
  <c r="I8" i="3"/>
  <c r="L17" i="3"/>
  <c r="X19" i="115" s="1"/>
  <c r="L41" i="3"/>
  <c r="L42" i="3"/>
  <c r="L40" i="3"/>
  <c r="L39" i="3"/>
  <c r="L38" i="3"/>
  <c r="L8" i="3"/>
  <c r="L37" i="3"/>
  <c r="K26" i="3"/>
  <c r="K38" i="3"/>
  <c r="K45" i="3"/>
  <c r="K25" i="3"/>
  <c r="K40" i="3"/>
  <c r="K13" i="3"/>
  <c r="K16" i="3"/>
  <c r="I39" i="3"/>
  <c r="I11" i="3"/>
  <c r="I38" i="3"/>
  <c r="I25" i="3"/>
  <c r="I22" i="3"/>
  <c r="I9" i="3"/>
  <c r="I30" i="3"/>
  <c r="L24" i="3"/>
  <c r="L15" i="3"/>
  <c r="L14" i="3"/>
  <c r="I44" i="3"/>
  <c r="I26" i="3"/>
  <c r="L26" i="3"/>
  <c r="K19" i="3"/>
  <c r="K30" i="3"/>
  <c r="K34" i="3"/>
  <c r="K12" i="3"/>
  <c r="K23" i="3"/>
  <c r="K46" i="3"/>
  <c r="K14" i="3"/>
  <c r="K28" i="3"/>
  <c r="I12" i="3"/>
  <c r="I19" i="3"/>
  <c r="I21" i="3"/>
  <c r="L28" i="3"/>
  <c r="L20" i="3"/>
  <c r="I37" i="3"/>
  <c r="I28" i="3"/>
  <c r="I23" i="3"/>
  <c r="I36" i="3"/>
  <c r="L11" i="3"/>
  <c r="L31" i="3"/>
  <c r="L33" i="3"/>
  <c r="L23" i="3"/>
  <c r="L34" i="3"/>
  <c r="L12" i="3"/>
  <c r="L35" i="3"/>
  <c r="L30" i="3"/>
  <c r="L22" i="3"/>
  <c r="L25" i="3"/>
  <c r="L32" i="3"/>
  <c r="L18" i="3"/>
  <c r="X21" i="115" s="1"/>
  <c r="AA21" i="115" s="1"/>
  <c r="L27" i="3"/>
  <c r="I17" i="3"/>
  <c r="Y19" i="115" s="1"/>
  <c r="I33" i="3"/>
  <c r="I27" i="3"/>
  <c r="I20" i="3"/>
  <c r="I31" i="3"/>
  <c r="I35" i="3"/>
  <c r="I24" i="3"/>
  <c r="I42" i="3"/>
  <c r="I45" i="3"/>
  <c r="I18" i="3"/>
  <c r="Y21" i="115" s="1"/>
  <c r="I41" i="3"/>
  <c r="I13" i="3"/>
  <c r="Y17" i="115" s="1"/>
  <c r="I34" i="3"/>
  <c r="I10" i="3"/>
  <c r="I14" i="3"/>
  <c r="I29" i="3"/>
  <c r="K22" i="3"/>
  <c r="K9" i="3"/>
  <c r="K27" i="3"/>
  <c r="K11" i="3"/>
  <c r="K18" i="3"/>
  <c r="K43" i="3"/>
  <c r="K32" i="3"/>
  <c r="K31" i="3"/>
  <c r="K15" i="3"/>
  <c r="K42" i="3"/>
  <c r="K17" i="3"/>
  <c r="K41" i="3"/>
  <c r="K36" i="3"/>
  <c r="K35" i="3"/>
  <c r="K29" i="3"/>
  <c r="K39" i="3"/>
  <c r="K33" i="3"/>
  <c r="K24" i="3"/>
  <c r="K37" i="3"/>
  <c r="K10" i="3"/>
  <c r="K44" i="3"/>
  <c r="K20" i="3"/>
  <c r="I40" i="3"/>
  <c r="I15" i="3"/>
  <c r="I16" i="3"/>
  <c r="Y18" i="115" s="1"/>
  <c r="I46" i="3"/>
  <c r="I32" i="3"/>
  <c r="L21" i="3"/>
  <c r="L19" i="3"/>
  <c r="L10" i="3"/>
  <c r="L29" i="3"/>
  <c r="L16" i="3"/>
  <c r="X18" i="115" s="1"/>
  <c r="L36" i="3"/>
  <c r="L13" i="3"/>
  <c r="X17" i="115" s="1"/>
  <c r="L9" i="3"/>
  <c r="AG21" i="115" l="1"/>
  <c r="AS21" i="115" s="1"/>
  <c r="AV21" i="115" s="1"/>
  <c r="AA17" i="115"/>
  <c r="AG17" i="115" s="1"/>
  <c r="AS17" i="115" s="1"/>
  <c r="AV17" i="115" s="1"/>
  <c r="AA18" i="115"/>
  <c r="AG18" i="115" s="1"/>
  <c r="AS18" i="115" s="1"/>
  <c r="AV18" i="115" s="1"/>
  <c r="Q15" i="126"/>
  <c r="X16" i="115"/>
  <c r="R22" i="126"/>
  <c r="Q22" i="126"/>
  <c r="AA19" i="115"/>
  <c r="AG19" i="115" s="1"/>
  <c r="AK21" i="115"/>
  <c r="AL21" i="115" s="1"/>
  <c r="Q20" i="126"/>
  <c r="Q21" i="126"/>
  <c r="AK18" i="115"/>
  <c r="R16" i="126"/>
  <c r="R17" i="126"/>
  <c r="R18" i="126"/>
  <c r="R19" i="126"/>
  <c r="Q16" i="126"/>
  <c r="Q17" i="126"/>
  <c r="Q18" i="126"/>
  <c r="Q19" i="126"/>
  <c r="X20" i="115"/>
  <c r="R20" i="126"/>
  <c r="R21" i="126"/>
  <c r="R15" i="126"/>
  <c r="Y16" i="115"/>
  <c r="Y20" i="115"/>
  <c r="Q24" i="123"/>
  <c r="R24" i="123" s="1"/>
  <c r="G24" i="123" s="1"/>
  <c r="M24" i="123"/>
  <c r="N24" i="123" s="1"/>
  <c r="E23" i="115"/>
  <c r="G23" i="123"/>
  <c r="Q22" i="115"/>
  <c r="R22" i="115" s="1"/>
  <c r="M22" i="115"/>
  <c r="H18" i="114"/>
  <c r="G25" i="122"/>
  <c r="S25" i="122" s="1"/>
  <c r="T25" i="122" s="1"/>
  <c r="E25" i="123"/>
  <c r="E24" i="126"/>
  <c r="C20" i="121"/>
  <c r="J23" i="126"/>
  <c r="I19" i="121" s="1"/>
  <c r="L23" i="126"/>
  <c r="M23" i="126" s="1"/>
  <c r="P23" i="126"/>
  <c r="S23" i="126" s="1"/>
  <c r="G25" i="126"/>
  <c r="AN22" i="126"/>
  <c r="AM22" i="126"/>
  <c r="AA22" i="126"/>
  <c r="Y22" i="126"/>
  <c r="M25" i="122"/>
  <c r="N25" i="122" s="1"/>
  <c r="H26" i="115"/>
  <c r="J25" i="115"/>
  <c r="K25" i="115" s="1"/>
  <c r="F26" i="122"/>
  <c r="E26" i="122"/>
  <c r="H28" i="122"/>
  <c r="J27" i="122"/>
  <c r="K27" i="122" s="1"/>
  <c r="J42" i="3"/>
  <c r="J33" i="3"/>
  <c r="J38" i="3"/>
  <c r="J21" i="3"/>
  <c r="J36" i="3"/>
  <c r="J19" i="3"/>
  <c r="J46" i="3"/>
  <c r="J11" i="3"/>
  <c r="J29" i="3"/>
  <c r="J35" i="3"/>
  <c r="J13" i="3"/>
  <c r="J26" i="3"/>
  <c r="J8" i="3"/>
  <c r="J32" i="3"/>
  <c r="J39" i="3"/>
  <c r="J9" i="3"/>
  <c r="J10" i="3"/>
  <c r="J28" i="3"/>
  <c r="J12" i="3"/>
  <c r="J16" i="3"/>
  <c r="J41" i="3"/>
  <c r="J18" i="3"/>
  <c r="J34" i="3"/>
  <c r="J44" i="3"/>
  <c r="J45" i="3"/>
  <c r="J27" i="3"/>
  <c r="J31" i="3"/>
  <c r="J40" i="3"/>
  <c r="J17" i="3"/>
  <c r="J15" i="3"/>
  <c r="J23" i="3"/>
  <c r="J22" i="3"/>
  <c r="J20" i="3"/>
  <c r="J24" i="3"/>
  <c r="J14" i="3"/>
  <c r="J51" i="3"/>
  <c r="J56" i="3"/>
  <c r="J48" i="3"/>
  <c r="J52" i="3"/>
  <c r="J49" i="3"/>
  <c r="J57" i="3"/>
  <c r="J53" i="3"/>
  <c r="J50" i="3"/>
  <c r="J55" i="3"/>
  <c r="J47" i="3"/>
  <c r="J54" i="3"/>
  <c r="J25" i="3"/>
  <c r="J43" i="3"/>
  <c r="J37" i="3"/>
  <c r="T22" i="126" l="1"/>
  <c r="Z22" i="126" s="1"/>
  <c r="K18" i="121" s="1"/>
  <c r="AK17" i="115"/>
  <c r="AL17" i="115" s="1"/>
  <c r="T16" i="126"/>
  <c r="Z16" i="126" s="1"/>
  <c r="K12" i="121" s="1"/>
  <c r="E24" i="115"/>
  <c r="D20" i="114" s="1"/>
  <c r="AM21" i="115"/>
  <c r="AN21" i="115" s="1"/>
  <c r="AO21" i="115" s="1"/>
  <c r="AP21" i="115" s="1"/>
  <c r="AW21" i="115" s="1"/>
  <c r="T18" i="126"/>
  <c r="Z18" i="126" s="1"/>
  <c r="AD18" i="126" s="1"/>
  <c r="T17" i="126"/>
  <c r="Z17" i="126" s="1"/>
  <c r="AL17" i="126" s="1"/>
  <c r="AO17" i="126" s="1"/>
  <c r="M13" i="121" s="1"/>
  <c r="T21" i="126"/>
  <c r="Z21" i="126" s="1"/>
  <c r="T20" i="126"/>
  <c r="Z20" i="126" s="1"/>
  <c r="AK19" i="115"/>
  <c r="AS19" i="115"/>
  <c r="AV19" i="115" s="1"/>
  <c r="AA20" i="115"/>
  <c r="AG20" i="115" s="1"/>
  <c r="T19" i="126"/>
  <c r="Z19" i="126" s="1"/>
  <c r="AM18" i="115"/>
  <c r="AL18" i="115"/>
  <c r="AA16" i="115"/>
  <c r="AG16" i="115" s="1"/>
  <c r="L12" i="114" s="1"/>
  <c r="T15" i="126"/>
  <c r="Z15" i="126" s="1"/>
  <c r="N22" i="115"/>
  <c r="I18" i="114"/>
  <c r="K18" i="114"/>
  <c r="G22" i="115"/>
  <c r="F23" i="115"/>
  <c r="L23" i="115" s="1"/>
  <c r="S23" i="123"/>
  <c r="T23" i="123" s="1"/>
  <c r="D19" i="114"/>
  <c r="F25" i="123"/>
  <c r="L25" i="123" s="1"/>
  <c r="F24" i="115"/>
  <c r="L24" i="115" s="1"/>
  <c r="M24" i="115" s="1"/>
  <c r="N24" i="115" s="1"/>
  <c r="S24" i="123"/>
  <c r="T24" i="123" s="1"/>
  <c r="R23" i="126"/>
  <c r="Q23" i="126"/>
  <c r="F20" i="121"/>
  <c r="E20" i="121"/>
  <c r="D20" i="121"/>
  <c r="G20" i="121"/>
  <c r="C25" i="126"/>
  <c r="D25" i="126" s="1"/>
  <c r="F26" i="126"/>
  <c r="H25" i="126"/>
  <c r="I24" i="126"/>
  <c r="H20" i="121" s="1"/>
  <c r="AB22" i="126"/>
  <c r="AJ22" i="126"/>
  <c r="K23" i="126"/>
  <c r="J19" i="121" s="1"/>
  <c r="W25" i="115"/>
  <c r="O25" i="115"/>
  <c r="P25" i="115" s="1"/>
  <c r="D25" i="115"/>
  <c r="I26" i="115"/>
  <c r="C26" i="115"/>
  <c r="C22" i="114" s="1"/>
  <c r="F21" i="114"/>
  <c r="L26" i="122"/>
  <c r="Q26" i="122" s="1"/>
  <c r="R26" i="122" s="1"/>
  <c r="D27" i="122"/>
  <c r="W27" i="122"/>
  <c r="O27" i="122"/>
  <c r="P27" i="122" s="1"/>
  <c r="C28" i="122"/>
  <c r="I28" i="122"/>
  <c r="G21" i="114"/>
  <c r="L13" i="114"/>
  <c r="Q24" i="115" l="1"/>
  <c r="R24" i="115" s="1"/>
  <c r="AM17" i="115"/>
  <c r="AN17" i="115" s="1"/>
  <c r="AO17" i="115" s="1"/>
  <c r="AP17" i="115" s="1"/>
  <c r="AW17" i="115" s="1"/>
  <c r="AD16" i="126"/>
  <c r="AL18" i="126"/>
  <c r="AO18" i="126" s="1"/>
  <c r="M14" i="121" s="1"/>
  <c r="K14" i="121"/>
  <c r="AL16" i="126"/>
  <c r="AO16" i="126" s="1"/>
  <c r="M12" i="121" s="1"/>
  <c r="AD17" i="126"/>
  <c r="K13" i="121"/>
  <c r="AL22" i="126"/>
  <c r="AO22" i="126" s="1"/>
  <c r="M18" i="121" s="1"/>
  <c r="AD22" i="126"/>
  <c r="AE22" i="126" s="1"/>
  <c r="AN18" i="115"/>
  <c r="AO18" i="115" s="1"/>
  <c r="AP18" i="115" s="1"/>
  <c r="AW18" i="115" s="1"/>
  <c r="AF16" i="126"/>
  <c r="AE16" i="126"/>
  <c r="K15" i="121"/>
  <c r="AD19" i="126"/>
  <c r="AL19" i="126"/>
  <c r="AO19" i="126" s="1"/>
  <c r="M15" i="121" s="1"/>
  <c r="T23" i="126"/>
  <c r="AE18" i="126"/>
  <c r="AF18" i="126"/>
  <c r="AK20" i="115"/>
  <c r="AS20" i="115"/>
  <c r="AV20" i="115" s="1"/>
  <c r="K17" i="121"/>
  <c r="AD21" i="126"/>
  <c r="AL21" i="126"/>
  <c r="AO21" i="126" s="1"/>
  <c r="M17" i="121" s="1"/>
  <c r="K11" i="121"/>
  <c r="AD15" i="126"/>
  <c r="AL15" i="126"/>
  <c r="AO15" i="126" s="1"/>
  <c r="M11" i="121" s="1"/>
  <c r="K16" i="121"/>
  <c r="AD20" i="126"/>
  <c r="AL20" i="126"/>
  <c r="AO20" i="126" s="1"/>
  <c r="M16" i="121" s="1"/>
  <c r="AE17" i="126"/>
  <c r="AF17" i="126"/>
  <c r="AM19" i="115"/>
  <c r="AL19" i="115"/>
  <c r="AK16" i="115"/>
  <c r="AS16" i="115"/>
  <c r="AV16" i="115" s="1"/>
  <c r="N12" i="114" s="1"/>
  <c r="M25" i="123"/>
  <c r="N25" i="123" s="1"/>
  <c r="Q25" i="123"/>
  <c r="R25" i="123" s="1"/>
  <c r="G25" i="123" s="1"/>
  <c r="G26" i="122"/>
  <c r="S26" i="122" s="1"/>
  <c r="T26" i="122" s="1"/>
  <c r="E26" i="123"/>
  <c r="Q23" i="115"/>
  <c r="R23" i="115" s="1"/>
  <c r="M23" i="115"/>
  <c r="N23" i="115" s="1"/>
  <c r="H19" i="114"/>
  <c r="S22" i="115"/>
  <c r="T22" i="115" s="1"/>
  <c r="Y22" i="115" s="1"/>
  <c r="E18" i="114"/>
  <c r="AT22" i="115"/>
  <c r="AH22" i="115"/>
  <c r="AU22" i="115"/>
  <c r="AF22" i="115"/>
  <c r="J18" i="114"/>
  <c r="K20" i="114"/>
  <c r="G24" i="115"/>
  <c r="S24" i="115" s="1"/>
  <c r="T24" i="115" s="1"/>
  <c r="Z24" i="115" s="1"/>
  <c r="G26" i="126"/>
  <c r="AM23" i="126"/>
  <c r="AA23" i="126"/>
  <c r="AN23" i="126"/>
  <c r="Y23" i="126"/>
  <c r="L24" i="126"/>
  <c r="M24" i="126" s="1"/>
  <c r="P24" i="126"/>
  <c r="S24" i="126" s="1"/>
  <c r="J24" i="126"/>
  <c r="I20" i="121" s="1"/>
  <c r="C21" i="121"/>
  <c r="H27" i="115"/>
  <c r="J26" i="115"/>
  <c r="K26" i="115" s="1"/>
  <c r="AU24" i="115"/>
  <c r="AH24" i="115"/>
  <c r="AT24" i="115"/>
  <c r="AF24" i="115"/>
  <c r="H20" i="114"/>
  <c r="M26" i="122"/>
  <c r="N26" i="122" s="1"/>
  <c r="E27" i="122"/>
  <c r="F27" i="122"/>
  <c r="H29" i="122"/>
  <c r="J28" i="122"/>
  <c r="K28" i="122" s="1"/>
  <c r="N13" i="114"/>
  <c r="AN19" i="115" l="1"/>
  <c r="AO19" i="115" s="1"/>
  <c r="AP19" i="115" s="1"/>
  <c r="AW19" i="115" s="1"/>
  <c r="AF22" i="126"/>
  <c r="AG16" i="126"/>
  <c r="AH16" i="126" s="1"/>
  <c r="AI16" i="126" s="1"/>
  <c r="AP16" i="126" s="1"/>
  <c r="N12" i="121" s="1"/>
  <c r="Z23" i="126"/>
  <c r="K19" i="121" s="1"/>
  <c r="E25" i="115"/>
  <c r="D21" i="114" s="1"/>
  <c r="AG17" i="126"/>
  <c r="AH17" i="126" s="1"/>
  <c r="AI17" i="126" s="1"/>
  <c r="AP17" i="126" s="1"/>
  <c r="N13" i="121" s="1"/>
  <c r="AG18" i="126"/>
  <c r="AH18" i="126" s="1"/>
  <c r="AI18" i="126" s="1"/>
  <c r="L14" i="121" s="1"/>
  <c r="L13" i="121"/>
  <c r="L12" i="121"/>
  <c r="AM16" i="115"/>
  <c r="AL16" i="115"/>
  <c r="AF21" i="126"/>
  <c r="AE21" i="126"/>
  <c r="AF20" i="126"/>
  <c r="AE20" i="126"/>
  <c r="AF19" i="126"/>
  <c r="AE19" i="126"/>
  <c r="AL20" i="115"/>
  <c r="AM20" i="115"/>
  <c r="AE15" i="126"/>
  <c r="AF15" i="126"/>
  <c r="I19" i="114"/>
  <c r="K19" i="114"/>
  <c r="G23" i="115"/>
  <c r="AI22" i="115"/>
  <c r="AQ22" i="115"/>
  <c r="F26" i="123"/>
  <c r="L26" i="123" s="1"/>
  <c r="F25" i="115"/>
  <c r="S25" i="123"/>
  <c r="T25" i="123" s="1"/>
  <c r="AT23" i="115"/>
  <c r="AH23" i="115"/>
  <c r="AU23" i="115"/>
  <c r="AF23" i="115"/>
  <c r="J19" i="114"/>
  <c r="Z22" i="115"/>
  <c r="X22" i="115"/>
  <c r="AA22" i="115" s="1"/>
  <c r="AG22" i="115" s="1"/>
  <c r="R24" i="126"/>
  <c r="Q24" i="126"/>
  <c r="AG22" i="126"/>
  <c r="AH22" i="126" s="1"/>
  <c r="AI22" i="126" s="1"/>
  <c r="L18" i="121" s="1"/>
  <c r="G21" i="121"/>
  <c r="F21" i="121"/>
  <c r="D21" i="121"/>
  <c r="E25" i="126"/>
  <c r="I25" i="126" s="1"/>
  <c r="H21" i="121" s="1"/>
  <c r="F27" i="126"/>
  <c r="C26" i="126"/>
  <c r="D26" i="126" s="1"/>
  <c r="H26" i="126"/>
  <c r="K24" i="126"/>
  <c r="J20" i="121" s="1"/>
  <c r="AJ23" i="126"/>
  <c r="AL23" i="126" s="1"/>
  <c r="AO23" i="126" s="1"/>
  <c r="M19" i="121" s="1"/>
  <c r="AB23" i="126"/>
  <c r="AD23" i="126" s="1"/>
  <c r="AI24" i="115"/>
  <c r="AQ24" i="115"/>
  <c r="Y24" i="115"/>
  <c r="X24" i="115"/>
  <c r="I27" i="115"/>
  <c r="C27" i="115"/>
  <c r="C23" i="114" s="1"/>
  <c r="W26" i="115"/>
  <c r="O26" i="115"/>
  <c r="P26" i="115" s="1"/>
  <c r="D26" i="115"/>
  <c r="I20" i="114"/>
  <c r="L27" i="122"/>
  <c r="Q27" i="122" s="1"/>
  <c r="R27" i="122" s="1"/>
  <c r="D28" i="122"/>
  <c r="W28" i="122"/>
  <c r="O28" i="122"/>
  <c r="P28" i="122" s="1"/>
  <c r="I29" i="122"/>
  <c r="C29" i="122"/>
  <c r="F22" i="114"/>
  <c r="G22" i="114"/>
  <c r="E20" i="114"/>
  <c r="J20" i="114"/>
  <c r="M13" i="114"/>
  <c r="L14" i="114"/>
  <c r="L25" i="115" l="1"/>
  <c r="Q25" i="115" s="1"/>
  <c r="R25" i="115" s="1"/>
  <c r="K21" i="114" s="1"/>
  <c r="AG20" i="126"/>
  <c r="AH20" i="126" s="1"/>
  <c r="AI20" i="126" s="1"/>
  <c r="AP20" i="126" s="1"/>
  <c r="N16" i="121" s="1"/>
  <c r="AN16" i="115"/>
  <c r="AO16" i="115" s="1"/>
  <c r="AP16" i="115" s="1"/>
  <c r="AW16" i="115" s="1"/>
  <c r="AG21" i="126"/>
  <c r="AH21" i="126" s="1"/>
  <c r="AI21" i="126" s="1"/>
  <c r="L17" i="121" s="1"/>
  <c r="AP18" i="126"/>
  <c r="N14" i="121" s="1"/>
  <c r="O14" i="121" s="1"/>
  <c r="AG15" i="126"/>
  <c r="AH15" i="126" s="1"/>
  <c r="AI15" i="126" s="1"/>
  <c r="AP15" i="126" s="1"/>
  <c r="N11" i="121" s="1"/>
  <c r="O12" i="121" s="1"/>
  <c r="AN20" i="115"/>
  <c r="AO20" i="115" s="1"/>
  <c r="AP20" i="115" s="1"/>
  <c r="AW20" i="115" s="1"/>
  <c r="AG19" i="126"/>
  <c r="AH19" i="126" s="1"/>
  <c r="AI19" i="126" s="1"/>
  <c r="AP19" i="126" s="1"/>
  <c r="N15" i="121" s="1"/>
  <c r="O15" i="121" s="1"/>
  <c r="O13" i="121"/>
  <c r="L16" i="121"/>
  <c r="M12" i="114"/>
  <c r="AP22" i="126"/>
  <c r="N18" i="121" s="1"/>
  <c r="E21" i="121"/>
  <c r="T24" i="126"/>
  <c r="Q26" i="123"/>
  <c r="R26" i="123" s="1"/>
  <c r="G26" i="123" s="1"/>
  <c r="M26" i="123"/>
  <c r="N26" i="123" s="1"/>
  <c r="M25" i="115"/>
  <c r="N25" i="115" s="1"/>
  <c r="AF25" i="115" s="1"/>
  <c r="AK22" i="115"/>
  <c r="AS22" i="115"/>
  <c r="AV22" i="115" s="1"/>
  <c r="AI23" i="115"/>
  <c r="AQ23" i="115"/>
  <c r="S23" i="115"/>
  <c r="T23" i="115" s="1"/>
  <c r="Y23" i="115" s="1"/>
  <c r="E19" i="114"/>
  <c r="G27" i="122"/>
  <c r="S27" i="122" s="1"/>
  <c r="T27" i="122" s="1"/>
  <c r="E27" i="123"/>
  <c r="G25" i="115"/>
  <c r="S25" i="115" s="1"/>
  <c r="T25" i="115" s="1"/>
  <c r="Z25" i="115" s="1"/>
  <c r="AN24" i="126"/>
  <c r="AA24" i="126"/>
  <c r="AM24" i="126"/>
  <c r="Y24" i="126"/>
  <c r="C22" i="121"/>
  <c r="G27" i="126"/>
  <c r="AE23" i="126"/>
  <c r="AF23" i="126"/>
  <c r="J25" i="126"/>
  <c r="I21" i="121" s="1"/>
  <c r="L25" i="126"/>
  <c r="M25" i="126" s="1"/>
  <c r="P25" i="126"/>
  <c r="AA24" i="115"/>
  <c r="AT25" i="115"/>
  <c r="H28" i="115"/>
  <c r="J27" i="115"/>
  <c r="K27" i="115" s="1"/>
  <c r="M27" i="122"/>
  <c r="N27" i="122" s="1"/>
  <c r="H21" i="114"/>
  <c r="H30" i="122"/>
  <c r="J29" i="122"/>
  <c r="K29" i="122" s="1"/>
  <c r="E28" i="122"/>
  <c r="F28" i="122"/>
  <c r="O12" i="114"/>
  <c r="O13" i="114"/>
  <c r="N14" i="114"/>
  <c r="L15" i="114"/>
  <c r="AH25" i="115" l="1"/>
  <c r="AU25" i="115"/>
  <c r="Z24" i="126"/>
  <c r="AG24" i="115"/>
  <c r="AS24" i="115" s="1"/>
  <c r="AV24" i="115" s="1"/>
  <c r="L11" i="121"/>
  <c r="AP21" i="126"/>
  <c r="N17" i="121" s="1"/>
  <c r="O17" i="121" s="1"/>
  <c r="E26" i="115"/>
  <c r="D22" i="114" s="1"/>
  <c r="L15" i="121"/>
  <c r="O18" i="121"/>
  <c r="O16" i="121"/>
  <c r="K20" i="121"/>
  <c r="S25" i="126"/>
  <c r="F27" i="123"/>
  <c r="L27" i="123" s="1"/>
  <c r="AL22" i="115"/>
  <c r="AM22" i="115"/>
  <c r="AN22" i="115" s="1"/>
  <c r="AO22" i="115" s="1"/>
  <c r="AP22" i="115" s="1"/>
  <c r="AW22" i="115" s="1"/>
  <c r="Z23" i="115"/>
  <c r="X23" i="115"/>
  <c r="F26" i="115"/>
  <c r="S26" i="123"/>
  <c r="T26" i="123" s="1"/>
  <c r="R25" i="126"/>
  <c r="Q25" i="126"/>
  <c r="AG23" i="126"/>
  <c r="AH23" i="126" s="1"/>
  <c r="AI23" i="126" s="1"/>
  <c r="L19" i="121" s="1"/>
  <c r="G22" i="121"/>
  <c r="F22" i="121"/>
  <c r="D22" i="121"/>
  <c r="E26" i="126"/>
  <c r="E22" i="121" s="1"/>
  <c r="C27" i="126"/>
  <c r="D27" i="126" s="1"/>
  <c r="S27" i="126"/>
  <c r="F28" i="126"/>
  <c r="H27" i="126"/>
  <c r="K25" i="126"/>
  <c r="J21" i="121" s="1"/>
  <c r="AJ24" i="126"/>
  <c r="AB24" i="126"/>
  <c r="O27" i="115"/>
  <c r="P27" i="115" s="1"/>
  <c r="W27" i="115"/>
  <c r="D27" i="115"/>
  <c r="P13" i="114"/>
  <c r="AQ25" i="115"/>
  <c r="AI25" i="115"/>
  <c r="X25" i="115"/>
  <c r="Y25" i="115"/>
  <c r="I28" i="115"/>
  <c r="C28" i="115"/>
  <c r="C24" i="114" s="1"/>
  <c r="I21" i="114"/>
  <c r="C30" i="122"/>
  <c r="I30" i="122"/>
  <c r="L28" i="122"/>
  <c r="W29" i="122"/>
  <c r="O29" i="122"/>
  <c r="P29" i="122" s="1"/>
  <c r="D29" i="122"/>
  <c r="F23" i="114"/>
  <c r="G23" i="114"/>
  <c r="E21" i="114"/>
  <c r="J21" i="114"/>
  <c r="M14" i="114"/>
  <c r="N15" i="114"/>
  <c r="L16" i="114"/>
  <c r="AK24" i="115" l="1"/>
  <c r="AL24" i="115" s="1"/>
  <c r="L26" i="115"/>
  <c r="AD24" i="126"/>
  <c r="AF24" i="126" s="1"/>
  <c r="AL24" i="126"/>
  <c r="AO24" i="126" s="1"/>
  <c r="M20" i="121" s="1"/>
  <c r="T25" i="126"/>
  <c r="Q26" i="115"/>
  <c r="R26" i="115" s="1"/>
  <c r="G26" i="115" s="1"/>
  <c r="S26" i="115" s="1"/>
  <c r="T26" i="115" s="1"/>
  <c r="Z26" i="115" s="1"/>
  <c r="M26" i="115"/>
  <c r="N26" i="115" s="1"/>
  <c r="AU26" i="115" s="1"/>
  <c r="Q27" i="123"/>
  <c r="R27" i="123" s="1"/>
  <c r="G27" i="123" s="1"/>
  <c r="M27" i="123"/>
  <c r="N27" i="123" s="1"/>
  <c r="I26" i="126"/>
  <c r="H22" i="121" s="1"/>
  <c r="AA23" i="115"/>
  <c r="AG23" i="115" s="1"/>
  <c r="AP23" i="126"/>
  <c r="N19" i="121" s="1"/>
  <c r="O19" i="121" s="1"/>
  <c r="G28" i="126"/>
  <c r="AM24" i="115"/>
  <c r="AN24" i="115" s="1"/>
  <c r="AO24" i="115" s="1"/>
  <c r="AP24" i="115" s="1"/>
  <c r="AW24" i="115" s="1"/>
  <c r="C23" i="121"/>
  <c r="AA25" i="126"/>
  <c r="AN25" i="126"/>
  <c r="AM25" i="126"/>
  <c r="Y25" i="126"/>
  <c r="AA25" i="115"/>
  <c r="AG25" i="115" s="1"/>
  <c r="H29" i="115"/>
  <c r="J28" i="115"/>
  <c r="K28" i="115" s="1"/>
  <c r="H22" i="114"/>
  <c r="Q28" i="122"/>
  <c r="R28" i="122" s="1"/>
  <c r="M28" i="122"/>
  <c r="N28" i="122" s="1"/>
  <c r="H31" i="122"/>
  <c r="J30" i="122"/>
  <c r="K30" i="122" s="1"/>
  <c r="E29" i="122"/>
  <c r="F29" i="122"/>
  <c r="O14" i="114"/>
  <c r="P14" i="114" s="1"/>
  <c r="M15" i="114"/>
  <c r="N16" i="114"/>
  <c r="L17" i="114"/>
  <c r="AT26" i="115" l="1"/>
  <c r="AH26" i="115"/>
  <c r="AI26" i="115" s="1"/>
  <c r="AE24" i="126"/>
  <c r="K22" i="114"/>
  <c r="AF26" i="115"/>
  <c r="Z25" i="126"/>
  <c r="K21" i="121" s="1"/>
  <c r="E27" i="115"/>
  <c r="L27" i="115" s="1"/>
  <c r="H23" i="114" s="1"/>
  <c r="J26" i="126"/>
  <c r="I22" i="121" s="1"/>
  <c r="AS23" i="115"/>
  <c r="AV23" i="115" s="1"/>
  <c r="AK23" i="115"/>
  <c r="AG24" i="126"/>
  <c r="AH24" i="126" s="1"/>
  <c r="AI24" i="126" s="1"/>
  <c r="L20" i="121" s="1"/>
  <c r="F27" i="115"/>
  <c r="S27" i="123"/>
  <c r="T27" i="123" s="1"/>
  <c r="G28" i="122"/>
  <c r="S28" i="122" s="1"/>
  <c r="T28" i="122" s="1"/>
  <c r="E28" i="123"/>
  <c r="L26" i="126"/>
  <c r="M26" i="126" s="1"/>
  <c r="R26" i="126" s="1"/>
  <c r="P26" i="126"/>
  <c r="S26" i="126" s="1"/>
  <c r="G23" i="121"/>
  <c r="F23" i="121"/>
  <c r="D23" i="121"/>
  <c r="E27" i="126"/>
  <c r="I27" i="126" s="1"/>
  <c r="H23" i="121" s="1"/>
  <c r="AB25" i="126"/>
  <c r="AJ25" i="126"/>
  <c r="F29" i="126"/>
  <c r="S28" i="126"/>
  <c r="C28" i="126"/>
  <c r="D28" i="126" s="1"/>
  <c r="H28" i="126"/>
  <c r="W28" i="115"/>
  <c r="O28" i="115"/>
  <c r="P28" i="115" s="1"/>
  <c r="D28" i="115"/>
  <c r="I29" i="115"/>
  <c r="C29" i="115"/>
  <c r="C25" i="114" s="1"/>
  <c r="AQ26" i="115"/>
  <c r="X26" i="115"/>
  <c r="Y26" i="115"/>
  <c r="AS25" i="115"/>
  <c r="AV25" i="115" s="1"/>
  <c r="AK25" i="115"/>
  <c r="I22" i="114"/>
  <c r="W30" i="122"/>
  <c r="O30" i="122"/>
  <c r="P30" i="122" s="1"/>
  <c r="D30" i="122"/>
  <c r="C31" i="122"/>
  <c r="I31" i="122"/>
  <c r="L29" i="122"/>
  <c r="F24" i="114"/>
  <c r="J22" i="114"/>
  <c r="E22" i="114"/>
  <c r="G24" i="114"/>
  <c r="O15" i="114"/>
  <c r="P15" i="114" s="1"/>
  <c r="M16" i="114"/>
  <c r="N17" i="114"/>
  <c r="L18" i="114"/>
  <c r="AL25" i="126" l="1"/>
  <c r="AO25" i="126" s="1"/>
  <c r="M21" i="121" s="1"/>
  <c r="AD25" i="126"/>
  <c r="AF25" i="126" s="1"/>
  <c r="D23" i="114"/>
  <c r="K26" i="126"/>
  <c r="J22" i="121" s="1"/>
  <c r="Q26" i="126"/>
  <c r="T26" i="126" s="1"/>
  <c r="F28" i="123"/>
  <c r="L28" i="123" s="1"/>
  <c r="AL23" i="115"/>
  <c r="AM23" i="115"/>
  <c r="AN23" i="115" s="1"/>
  <c r="AO23" i="115" s="1"/>
  <c r="AP23" i="115" s="1"/>
  <c r="AW23" i="115" s="1"/>
  <c r="AP24" i="126"/>
  <c r="N20" i="121" s="1"/>
  <c r="O20" i="121" s="1"/>
  <c r="E23" i="121"/>
  <c r="C24" i="121"/>
  <c r="J27" i="126"/>
  <c r="I23" i="121" s="1"/>
  <c r="L27" i="126"/>
  <c r="M27" i="126" s="1"/>
  <c r="P27" i="126"/>
  <c r="G29" i="126"/>
  <c r="Y26" i="126"/>
  <c r="AA26" i="115"/>
  <c r="H30" i="115"/>
  <c r="J29" i="115"/>
  <c r="K29" i="115" s="1"/>
  <c r="AM25" i="115"/>
  <c r="AL25" i="115"/>
  <c r="Q27" i="115"/>
  <c r="R27" i="115" s="1"/>
  <c r="M27" i="115"/>
  <c r="N27" i="115" s="1"/>
  <c r="J23" i="114" s="1"/>
  <c r="E30" i="122"/>
  <c r="F30" i="122"/>
  <c r="Q29" i="122"/>
  <c r="R29" i="122" s="1"/>
  <c r="M29" i="122"/>
  <c r="N29" i="122" s="1"/>
  <c r="H32" i="122"/>
  <c r="J31" i="122"/>
  <c r="K31" i="122" s="1"/>
  <c r="M17" i="114"/>
  <c r="N18" i="114"/>
  <c r="O16" i="114"/>
  <c r="P16" i="114" s="1"/>
  <c r="L19" i="114"/>
  <c r="AE25" i="126" l="1"/>
  <c r="AG25" i="126" s="1"/>
  <c r="AH25" i="126" s="1"/>
  <c r="AI25" i="126" s="1"/>
  <c r="L21" i="121" s="1"/>
  <c r="AN26" i="126"/>
  <c r="AA26" i="126"/>
  <c r="AM26" i="126"/>
  <c r="AG26" i="115"/>
  <c r="AS26" i="115" s="1"/>
  <c r="AV26" i="115" s="1"/>
  <c r="Z26" i="126"/>
  <c r="K22" i="121" s="1"/>
  <c r="M28" i="123"/>
  <c r="N28" i="123" s="1"/>
  <c r="Q28" i="123"/>
  <c r="R28" i="123" s="1"/>
  <c r="G29" i="122"/>
  <c r="S29" i="122" s="1"/>
  <c r="T29" i="122" s="1"/>
  <c r="E29" i="123"/>
  <c r="R27" i="126"/>
  <c r="Q27" i="126"/>
  <c r="K23" i="114"/>
  <c r="G27" i="115"/>
  <c r="F24" i="121"/>
  <c r="G24" i="121"/>
  <c r="D24" i="121"/>
  <c r="K27" i="126"/>
  <c r="J23" i="121" s="1"/>
  <c r="E28" i="126"/>
  <c r="E24" i="121" s="1"/>
  <c r="AB26" i="126"/>
  <c r="AJ26" i="126"/>
  <c r="AL26" i="126" s="1"/>
  <c r="AO26" i="126" s="1"/>
  <c r="M22" i="121" s="1"/>
  <c r="F30" i="126"/>
  <c r="C29" i="126"/>
  <c r="D29" i="126" s="1"/>
  <c r="S29" i="126"/>
  <c r="H29" i="126"/>
  <c r="I23" i="114"/>
  <c r="AN25" i="115"/>
  <c r="AO25" i="115" s="1"/>
  <c r="AP25" i="115" s="1"/>
  <c r="AW25" i="115" s="1"/>
  <c r="AU27" i="115"/>
  <c r="AH27" i="115"/>
  <c r="AT27" i="115"/>
  <c r="AF27" i="115"/>
  <c r="I30" i="115"/>
  <c r="C30" i="115"/>
  <c r="C26" i="114" s="1"/>
  <c r="W29" i="115"/>
  <c r="O29" i="115"/>
  <c r="P29" i="115" s="1"/>
  <c r="D29" i="115"/>
  <c r="L30" i="122"/>
  <c r="C32" i="122"/>
  <c r="I32" i="122"/>
  <c r="D31" i="122"/>
  <c r="O31" i="122"/>
  <c r="P31" i="122" s="1"/>
  <c r="W31" i="122"/>
  <c r="F25" i="114"/>
  <c r="G25" i="114"/>
  <c r="N19" i="114"/>
  <c r="O17" i="114"/>
  <c r="P17" i="114" s="1"/>
  <c r="M18" i="114"/>
  <c r="L20" i="114"/>
  <c r="AK26" i="115" l="1"/>
  <c r="AM26" i="115" s="1"/>
  <c r="AD26" i="126"/>
  <c r="AF26" i="126" s="1"/>
  <c r="T27" i="126"/>
  <c r="F29" i="123"/>
  <c r="L29" i="123" s="1"/>
  <c r="G28" i="123"/>
  <c r="E28" i="115"/>
  <c r="AL26" i="115"/>
  <c r="AN26" i="115" s="1"/>
  <c r="AO26" i="115" s="1"/>
  <c r="AP26" i="115" s="1"/>
  <c r="AW26" i="115" s="1"/>
  <c r="AP25" i="126"/>
  <c r="C25" i="121"/>
  <c r="I28" i="126"/>
  <c r="H24" i="121" s="1"/>
  <c r="G30" i="126"/>
  <c r="AN27" i="126"/>
  <c r="AA27" i="126"/>
  <c r="AM27" i="126"/>
  <c r="Y27" i="126"/>
  <c r="S27" i="115"/>
  <c r="T27" i="115" s="1"/>
  <c r="Z27" i="115" s="1"/>
  <c r="E23" i="114"/>
  <c r="H31" i="115"/>
  <c r="J30" i="115"/>
  <c r="K30" i="115" s="1"/>
  <c r="AQ27" i="115"/>
  <c r="AI27" i="115"/>
  <c r="H33" i="122"/>
  <c r="J32" i="122"/>
  <c r="K32" i="122" s="1"/>
  <c r="F31" i="122"/>
  <c r="E31" i="122"/>
  <c r="M30" i="122"/>
  <c r="N30" i="122" s="1"/>
  <c r="Q30" i="122"/>
  <c r="R30" i="122" s="1"/>
  <c r="L21" i="114"/>
  <c r="O18" i="114"/>
  <c r="P18" i="114" s="1"/>
  <c r="M19" i="114"/>
  <c r="N20" i="114"/>
  <c r="AE26" i="126" l="1"/>
  <c r="Z27" i="126"/>
  <c r="K23" i="121" s="1"/>
  <c r="M29" i="123"/>
  <c r="N29" i="123" s="1"/>
  <c r="Q29" i="123"/>
  <c r="R29" i="123" s="1"/>
  <c r="D24" i="114"/>
  <c r="F28" i="115"/>
  <c r="L28" i="115" s="1"/>
  <c r="S28" i="123"/>
  <c r="T28" i="123" s="1"/>
  <c r="G30" i="122"/>
  <c r="S30" i="122" s="1"/>
  <c r="T30" i="122" s="1"/>
  <c r="E30" i="123"/>
  <c r="G25" i="121"/>
  <c r="F25" i="121"/>
  <c r="D25" i="121"/>
  <c r="N21" i="121"/>
  <c r="O21" i="121" s="1"/>
  <c r="AG26" i="126"/>
  <c r="AH26" i="126" s="1"/>
  <c r="AI26" i="126" s="1"/>
  <c r="L22" i="121" s="1"/>
  <c r="C30" i="126"/>
  <c r="D30" i="126" s="1"/>
  <c r="F31" i="126"/>
  <c r="S30" i="126"/>
  <c r="H30" i="126"/>
  <c r="J28" i="126"/>
  <c r="I24" i="121" s="1"/>
  <c r="P28" i="126"/>
  <c r="L28" i="126"/>
  <c r="M28" i="126" s="1"/>
  <c r="AJ27" i="126"/>
  <c r="AB27" i="126"/>
  <c r="E29" i="126"/>
  <c r="E25" i="121" s="1"/>
  <c r="W30" i="115"/>
  <c r="O30" i="115"/>
  <c r="P30" i="115" s="1"/>
  <c r="D30" i="115"/>
  <c r="X27" i="115"/>
  <c r="Y27" i="115"/>
  <c r="I31" i="115"/>
  <c r="C31" i="115"/>
  <c r="C27" i="114" s="1"/>
  <c r="I33" i="122"/>
  <c r="C33" i="122"/>
  <c r="D32" i="122"/>
  <c r="O32" i="122"/>
  <c r="P32" i="122" s="1"/>
  <c r="W32" i="122"/>
  <c r="L31" i="122"/>
  <c r="F26" i="114"/>
  <c r="G26" i="114"/>
  <c r="N21" i="114"/>
  <c r="O19" i="114"/>
  <c r="P19" i="114" s="1"/>
  <c r="AD27" i="126" l="1"/>
  <c r="AL27" i="126"/>
  <c r="AO27" i="126" s="1"/>
  <c r="M23" i="121" s="1"/>
  <c r="M28" i="115"/>
  <c r="Q28" i="115"/>
  <c r="R28" i="115" s="1"/>
  <c r="H24" i="114"/>
  <c r="F30" i="123"/>
  <c r="L30" i="123" s="1"/>
  <c r="E29" i="115"/>
  <c r="G29" i="123"/>
  <c r="Q28" i="126"/>
  <c r="R28" i="126"/>
  <c r="AP26" i="126"/>
  <c r="AE27" i="126"/>
  <c r="AF27" i="126"/>
  <c r="K28" i="126"/>
  <c r="J24" i="121" s="1"/>
  <c r="G31" i="126"/>
  <c r="I29" i="126"/>
  <c r="H25" i="121" s="1"/>
  <c r="C26" i="121"/>
  <c r="AA27" i="115"/>
  <c r="H32" i="115"/>
  <c r="J31" i="115"/>
  <c r="K31" i="115" s="1"/>
  <c r="M31" i="122"/>
  <c r="N31" i="122" s="1"/>
  <c r="Q31" i="122"/>
  <c r="R31" i="122" s="1"/>
  <c r="F32" i="122"/>
  <c r="E32" i="122"/>
  <c r="H34" i="122"/>
  <c r="J33" i="122"/>
  <c r="K33" i="122" s="1"/>
  <c r="M21" i="114"/>
  <c r="M20" i="114"/>
  <c r="AG27" i="115" l="1"/>
  <c r="AS27" i="115" s="1"/>
  <c r="AV27" i="115" s="1"/>
  <c r="M30" i="123"/>
  <c r="N30" i="123" s="1"/>
  <c r="Q30" i="123"/>
  <c r="R30" i="123" s="1"/>
  <c r="D25" i="114"/>
  <c r="F29" i="115"/>
  <c r="L29" i="115" s="1"/>
  <c r="S29" i="123"/>
  <c r="T29" i="123" s="1"/>
  <c r="G31" i="122"/>
  <c r="S31" i="122" s="1"/>
  <c r="T31" i="122" s="1"/>
  <c r="E31" i="123"/>
  <c r="G28" i="115"/>
  <c r="K24" i="114"/>
  <c r="N28" i="115"/>
  <c r="I24" i="114"/>
  <c r="T28" i="126"/>
  <c r="D26" i="121"/>
  <c r="G26" i="121"/>
  <c r="F26" i="121"/>
  <c r="N22" i="121"/>
  <c r="O22" i="121" s="1"/>
  <c r="F32" i="126"/>
  <c r="S31" i="126"/>
  <c r="C31" i="126"/>
  <c r="D31" i="126" s="1"/>
  <c r="H31" i="126"/>
  <c r="E30" i="126"/>
  <c r="E26" i="121" s="1"/>
  <c r="AA28" i="126"/>
  <c r="AN28" i="126"/>
  <c r="AM28" i="126"/>
  <c r="Y28" i="126"/>
  <c r="P29" i="126"/>
  <c r="J29" i="126"/>
  <c r="I25" i="121" s="1"/>
  <c r="L29" i="126"/>
  <c r="M29" i="126" s="1"/>
  <c r="AG27" i="126"/>
  <c r="AH27" i="126" s="1"/>
  <c r="AI27" i="126" s="1"/>
  <c r="L23" i="121" s="1"/>
  <c r="AK27" i="115"/>
  <c r="AM27" i="115" s="1"/>
  <c r="I32" i="115"/>
  <c r="C32" i="115"/>
  <c r="C28" i="114" s="1"/>
  <c r="O31" i="115"/>
  <c r="P31" i="115" s="1"/>
  <c r="W31" i="115"/>
  <c r="Z31" i="115" s="1"/>
  <c r="D31" i="115"/>
  <c r="W33" i="122"/>
  <c r="O33" i="122"/>
  <c r="P33" i="122" s="1"/>
  <c r="D33" i="122"/>
  <c r="C34" i="122"/>
  <c r="I34" i="122"/>
  <c r="L32" i="122"/>
  <c r="F27" i="114"/>
  <c r="G27" i="114"/>
  <c r="O21" i="114"/>
  <c r="O20" i="114"/>
  <c r="P20" i="114" s="1"/>
  <c r="Z28" i="126" l="1"/>
  <c r="K24" i="121" s="1"/>
  <c r="Q29" i="115"/>
  <c r="R29" i="115" s="1"/>
  <c r="M29" i="115"/>
  <c r="H25" i="114"/>
  <c r="F31" i="123"/>
  <c r="L31" i="123" s="1"/>
  <c r="AU28" i="115"/>
  <c r="AF28" i="115"/>
  <c r="AT28" i="115"/>
  <c r="AH28" i="115"/>
  <c r="J24" i="114"/>
  <c r="E30" i="115"/>
  <c r="G30" i="123"/>
  <c r="S28" i="115"/>
  <c r="T28" i="115" s="1"/>
  <c r="Y28" i="115" s="1"/>
  <c r="E24" i="114"/>
  <c r="R29" i="126"/>
  <c r="Q29" i="126"/>
  <c r="K29" i="126"/>
  <c r="J25" i="121" s="1"/>
  <c r="AP27" i="126"/>
  <c r="AJ28" i="126"/>
  <c r="AB28" i="126"/>
  <c r="AD28" i="126" s="1"/>
  <c r="C27" i="121"/>
  <c r="E31" i="126"/>
  <c r="I30" i="126"/>
  <c r="H26" i="121" s="1"/>
  <c r="G32" i="126"/>
  <c r="AL27" i="115"/>
  <c r="AN27" i="115" s="1"/>
  <c r="AO27" i="115" s="1"/>
  <c r="AP27" i="115" s="1"/>
  <c r="AW27" i="115" s="1"/>
  <c r="P21" i="114"/>
  <c r="H33" i="115"/>
  <c r="J32" i="115"/>
  <c r="K32" i="115" s="1"/>
  <c r="Q32" i="122"/>
  <c r="R32" i="122" s="1"/>
  <c r="M32" i="122"/>
  <c r="N32" i="122" s="1"/>
  <c r="F33" i="122"/>
  <c r="E33" i="122"/>
  <c r="H35" i="122"/>
  <c r="J34" i="122"/>
  <c r="K34" i="122" s="1"/>
  <c r="AL28" i="126" l="1"/>
  <c r="AO28" i="126" s="1"/>
  <c r="M24" i="121" s="1"/>
  <c r="T29" i="126"/>
  <c r="M31" i="123"/>
  <c r="N31" i="123" s="1"/>
  <c r="Q31" i="123"/>
  <c r="R31" i="123" s="1"/>
  <c r="F30" i="115"/>
  <c r="L30" i="115" s="1"/>
  <c r="S30" i="123"/>
  <c r="T30" i="123" s="1"/>
  <c r="D26" i="114"/>
  <c r="Z28" i="115"/>
  <c r="X28" i="115"/>
  <c r="AQ28" i="115"/>
  <c r="AI28" i="115"/>
  <c r="N29" i="115"/>
  <c r="I25" i="114"/>
  <c r="G32" i="122"/>
  <c r="S32" i="122" s="1"/>
  <c r="T32" i="122" s="1"/>
  <c r="E32" i="123"/>
  <c r="K25" i="114"/>
  <c r="G29" i="115"/>
  <c r="E27" i="121"/>
  <c r="D27" i="121"/>
  <c r="G27" i="121"/>
  <c r="F27" i="121"/>
  <c r="N23" i="121"/>
  <c r="O23" i="121" s="1"/>
  <c r="AF28" i="126"/>
  <c r="AE28" i="126"/>
  <c r="F33" i="126"/>
  <c r="C32" i="126"/>
  <c r="D32" i="126" s="1"/>
  <c r="S32" i="126"/>
  <c r="H32" i="126"/>
  <c r="P30" i="126"/>
  <c r="L30" i="126"/>
  <c r="M30" i="126" s="1"/>
  <c r="J30" i="126"/>
  <c r="I26" i="121" s="1"/>
  <c r="I31" i="126"/>
  <c r="H27" i="121" s="1"/>
  <c r="AA29" i="126"/>
  <c r="AN29" i="126"/>
  <c r="AM29" i="126"/>
  <c r="Y29" i="126"/>
  <c r="I33" i="115"/>
  <c r="C33" i="115"/>
  <c r="C29" i="114" s="1"/>
  <c r="W32" i="115"/>
  <c r="Z32" i="115" s="1"/>
  <c r="O32" i="115"/>
  <c r="P32" i="115" s="1"/>
  <c r="D32" i="115"/>
  <c r="L33" i="122"/>
  <c r="Q33" i="122" s="1"/>
  <c r="R33" i="122" s="1"/>
  <c r="C35" i="122"/>
  <c r="I35" i="122"/>
  <c r="W34" i="122"/>
  <c r="O34" i="122"/>
  <c r="P34" i="122" s="1"/>
  <c r="D34" i="122"/>
  <c r="F28" i="114"/>
  <c r="G28" i="114"/>
  <c r="Z29" i="126" l="1"/>
  <c r="K25" i="121" s="1"/>
  <c r="AA28" i="115"/>
  <c r="E31" i="115"/>
  <c r="G31" i="123"/>
  <c r="F32" i="123"/>
  <c r="L32" i="123" s="1"/>
  <c r="Q30" i="115"/>
  <c r="R30" i="115" s="1"/>
  <c r="M30" i="115"/>
  <c r="H26" i="114"/>
  <c r="G33" i="122"/>
  <c r="S33" i="122" s="1"/>
  <c r="T33" i="122" s="1"/>
  <c r="E33" i="123"/>
  <c r="AT29" i="115"/>
  <c r="AU29" i="115"/>
  <c r="AH29" i="115"/>
  <c r="AF29" i="115"/>
  <c r="J25" i="114"/>
  <c r="S29" i="115"/>
  <c r="T29" i="115" s="1"/>
  <c r="Y29" i="115" s="1"/>
  <c r="E25" i="114"/>
  <c r="Q30" i="126"/>
  <c r="R30" i="126"/>
  <c r="AG28" i="126"/>
  <c r="AH28" i="126" s="1"/>
  <c r="AI28" i="126" s="1"/>
  <c r="K30" i="126"/>
  <c r="J26" i="121" s="1"/>
  <c r="P31" i="126"/>
  <c r="L31" i="126"/>
  <c r="M31" i="126" s="1"/>
  <c r="J31" i="126"/>
  <c r="I27" i="121" s="1"/>
  <c r="C28" i="121"/>
  <c r="E32" i="126"/>
  <c r="G33" i="126"/>
  <c r="AB29" i="126"/>
  <c r="AJ29" i="126"/>
  <c r="H34" i="115"/>
  <c r="J33" i="115"/>
  <c r="K33" i="115" s="1"/>
  <c r="M33" i="122"/>
  <c r="N33" i="122" s="1"/>
  <c r="H36" i="122"/>
  <c r="J35" i="122"/>
  <c r="K35" i="122" s="1"/>
  <c r="E34" i="122"/>
  <c r="F34" i="122"/>
  <c r="AL29" i="126" l="1"/>
  <c r="AO29" i="126" s="1"/>
  <c r="M25" i="121" s="1"/>
  <c r="AD29" i="126"/>
  <c r="AF29" i="126" s="1"/>
  <c r="AG28" i="115"/>
  <c r="AK28" i="115" s="1"/>
  <c r="AM28" i="115" s="1"/>
  <c r="F31" i="115"/>
  <c r="L31" i="115" s="1"/>
  <c r="S31" i="123"/>
  <c r="T31" i="123" s="1"/>
  <c r="D27" i="114"/>
  <c r="Q32" i="123"/>
  <c r="R32" i="123" s="1"/>
  <c r="M32" i="123"/>
  <c r="N32" i="123" s="1"/>
  <c r="F33" i="123"/>
  <c r="L33" i="123" s="1"/>
  <c r="N30" i="115"/>
  <c r="I26" i="114"/>
  <c r="K26" i="114"/>
  <c r="G30" i="115"/>
  <c r="AQ29" i="115"/>
  <c r="AI29" i="115"/>
  <c r="Z29" i="115"/>
  <c r="X29" i="115"/>
  <c r="R31" i="126"/>
  <c r="Q31" i="126"/>
  <c r="T30" i="126"/>
  <c r="G28" i="121"/>
  <c r="F28" i="121"/>
  <c r="E28" i="121"/>
  <c r="D28" i="121"/>
  <c r="AP28" i="126"/>
  <c r="L24" i="121"/>
  <c r="C33" i="126"/>
  <c r="D33" i="126" s="1"/>
  <c r="F34" i="126"/>
  <c r="S33" i="126"/>
  <c r="H33" i="126"/>
  <c r="I32" i="126"/>
  <c r="H28" i="121" s="1"/>
  <c r="AN30" i="126"/>
  <c r="AA30" i="126"/>
  <c r="AM30" i="126"/>
  <c r="Y30" i="126"/>
  <c r="K31" i="126"/>
  <c r="J27" i="121" s="1"/>
  <c r="O33" i="115"/>
  <c r="P33" i="115" s="1"/>
  <c r="W33" i="115"/>
  <c r="Z33" i="115" s="1"/>
  <c r="D33" i="115"/>
  <c r="I34" i="115"/>
  <c r="C34" i="115"/>
  <c r="C30" i="114" s="1"/>
  <c r="L34" i="122"/>
  <c r="M34" i="122" s="1"/>
  <c r="N34" i="122" s="1"/>
  <c r="D35" i="122"/>
  <c r="W35" i="122"/>
  <c r="O35" i="122"/>
  <c r="P35" i="122" s="1"/>
  <c r="C36" i="122"/>
  <c r="I36" i="122"/>
  <c r="F29" i="114"/>
  <c r="G29" i="114"/>
  <c r="AE29" i="126" l="1"/>
  <c r="AL28" i="115"/>
  <c r="Z30" i="126"/>
  <c r="K26" i="121" s="1"/>
  <c r="AS28" i="115"/>
  <c r="AV28" i="115" s="1"/>
  <c r="E32" i="115"/>
  <c r="G32" i="123"/>
  <c r="H27" i="114"/>
  <c r="M31" i="115"/>
  <c r="Q31" i="115"/>
  <c r="R31" i="115" s="1"/>
  <c r="AN28" i="115"/>
  <c r="AO28" i="115" s="1"/>
  <c r="AP28" i="115" s="1"/>
  <c r="M33" i="123"/>
  <c r="N33" i="123" s="1"/>
  <c r="Q33" i="123"/>
  <c r="R33" i="123" s="1"/>
  <c r="G33" i="123" s="1"/>
  <c r="AA29" i="115"/>
  <c r="AG29" i="115" s="1"/>
  <c r="AF30" i="115"/>
  <c r="AH30" i="115"/>
  <c r="AU30" i="115"/>
  <c r="AT30" i="115"/>
  <c r="J26" i="114"/>
  <c r="S30" i="115"/>
  <c r="T30" i="115" s="1"/>
  <c r="Y30" i="115" s="1"/>
  <c r="E26" i="114"/>
  <c r="T31" i="126"/>
  <c r="AG29" i="126"/>
  <c r="AH29" i="126" s="1"/>
  <c r="AI29" i="126" s="1"/>
  <c r="L25" i="121" s="1"/>
  <c r="N24" i="121"/>
  <c r="O24" i="121" s="1"/>
  <c r="AB30" i="126"/>
  <c r="AD30" i="126" s="1"/>
  <c r="AJ30" i="126"/>
  <c r="G34" i="126"/>
  <c r="C29" i="121"/>
  <c r="E33" i="126"/>
  <c r="L32" i="126"/>
  <c r="M32" i="126" s="1"/>
  <c r="J32" i="126"/>
  <c r="I28" i="121" s="1"/>
  <c r="P32" i="126"/>
  <c r="AN31" i="126"/>
  <c r="AA31" i="126"/>
  <c r="AM31" i="126"/>
  <c r="Y31" i="126"/>
  <c r="H35" i="115"/>
  <c r="J34" i="115"/>
  <c r="K34" i="115" s="1"/>
  <c r="Q34" i="122"/>
  <c r="R34" i="122" s="1"/>
  <c r="H37" i="122"/>
  <c r="J36" i="122"/>
  <c r="K36" i="122" s="1"/>
  <c r="E35" i="122"/>
  <c r="F35" i="122"/>
  <c r="AL30" i="126" l="1"/>
  <c r="AO30" i="126" s="1"/>
  <c r="M26" i="121" s="1"/>
  <c r="Z31" i="126"/>
  <c r="AW28" i="115"/>
  <c r="K27" i="121"/>
  <c r="F33" i="115"/>
  <c r="S33" i="123"/>
  <c r="T33" i="123" s="1"/>
  <c r="K27" i="114"/>
  <c r="G31" i="115"/>
  <c r="N31" i="115"/>
  <c r="I27" i="114"/>
  <c r="F32" i="115"/>
  <c r="L32" i="115" s="1"/>
  <c r="S32" i="123"/>
  <c r="T32" i="123" s="1"/>
  <c r="E33" i="115"/>
  <c r="L33" i="115" s="1"/>
  <c r="D28" i="114"/>
  <c r="AQ30" i="115"/>
  <c r="AI30" i="115"/>
  <c r="AS29" i="115"/>
  <c r="AV29" i="115" s="1"/>
  <c r="N25" i="114" s="1"/>
  <c r="L25" i="114"/>
  <c r="AK29" i="115"/>
  <c r="Z30" i="115"/>
  <c r="X30" i="115"/>
  <c r="G34" i="122"/>
  <c r="S34" i="122" s="1"/>
  <c r="T34" i="122" s="1"/>
  <c r="E34" i="123"/>
  <c r="R32" i="126"/>
  <c r="Q32" i="126"/>
  <c r="AP29" i="126"/>
  <c r="N25" i="121" s="1"/>
  <c r="O25" i="121" s="1"/>
  <c r="G29" i="121"/>
  <c r="F29" i="121"/>
  <c r="E29" i="121"/>
  <c r="D29" i="121"/>
  <c r="AJ31" i="126"/>
  <c r="AB31" i="126"/>
  <c r="AD31" i="126" s="1"/>
  <c r="S34" i="126"/>
  <c r="C34" i="126"/>
  <c r="D34" i="126" s="1"/>
  <c r="F35" i="126"/>
  <c r="H34" i="126"/>
  <c r="K32" i="126"/>
  <c r="J28" i="121" s="1"/>
  <c r="AE30" i="126"/>
  <c r="AF30" i="126"/>
  <c r="I33" i="126"/>
  <c r="H29" i="121" s="1"/>
  <c r="W34" i="115"/>
  <c r="Z34" i="115" s="1"/>
  <c r="O34" i="115"/>
  <c r="P34" i="115" s="1"/>
  <c r="D34" i="115"/>
  <c r="I35" i="115"/>
  <c r="C35" i="115"/>
  <c r="C31" i="114" s="1"/>
  <c r="M33" i="115"/>
  <c r="N33" i="115" s="1"/>
  <c r="Q33" i="115"/>
  <c r="R33" i="115" s="1"/>
  <c r="L35" i="122"/>
  <c r="M35" i="122" s="1"/>
  <c r="N35" i="122" s="1"/>
  <c r="D36" i="122"/>
  <c r="W36" i="122"/>
  <c r="O36" i="122"/>
  <c r="P36" i="122" s="1"/>
  <c r="I37" i="122"/>
  <c r="C37" i="122"/>
  <c r="F30" i="114"/>
  <c r="G30" i="114"/>
  <c r="D29" i="114" l="1"/>
  <c r="T32" i="126"/>
  <c r="AL31" i="126"/>
  <c r="AO31" i="126" s="1"/>
  <c r="M27" i="121" s="1"/>
  <c r="AA30" i="115"/>
  <c r="Q32" i="115"/>
  <c r="R32" i="115" s="1"/>
  <c r="M32" i="115"/>
  <c r="H28" i="114"/>
  <c r="J27" i="114"/>
  <c r="AU31" i="115"/>
  <c r="AF31" i="115"/>
  <c r="AT31" i="115"/>
  <c r="AH31" i="115"/>
  <c r="E27" i="114"/>
  <c r="S31" i="115"/>
  <c r="T31" i="115" s="1"/>
  <c r="AL29" i="115"/>
  <c r="AM29" i="115"/>
  <c r="F34" i="123"/>
  <c r="L34" i="123" s="1"/>
  <c r="K29" i="114"/>
  <c r="G33" i="115"/>
  <c r="S33" i="115" s="1"/>
  <c r="T33" i="115" s="1"/>
  <c r="AG30" i="126"/>
  <c r="AH30" i="126" s="1"/>
  <c r="AI30" i="126" s="1"/>
  <c r="L26" i="121" s="1"/>
  <c r="C30" i="121"/>
  <c r="E34" i="126"/>
  <c r="AA32" i="126"/>
  <c r="AN32" i="126"/>
  <c r="AM32" i="126"/>
  <c r="Y32" i="126"/>
  <c r="G35" i="126"/>
  <c r="AF31" i="126"/>
  <c r="AE31" i="126"/>
  <c r="L33" i="126"/>
  <c r="M33" i="126" s="1"/>
  <c r="J33" i="126"/>
  <c r="I29" i="121" s="1"/>
  <c r="P33" i="126"/>
  <c r="AH33" i="115"/>
  <c r="AU33" i="115"/>
  <c r="AT33" i="115"/>
  <c r="AF33" i="115"/>
  <c r="H36" i="115"/>
  <c r="J35" i="115"/>
  <c r="K35" i="115" s="1"/>
  <c r="H29" i="114"/>
  <c r="Q35" i="122"/>
  <c r="R35" i="122" s="1"/>
  <c r="E36" i="122"/>
  <c r="F36" i="122"/>
  <c r="H38" i="122"/>
  <c r="J37" i="122"/>
  <c r="K37" i="122" s="1"/>
  <c r="Z32" i="126" l="1"/>
  <c r="K28" i="121" s="1"/>
  <c r="AG30" i="115"/>
  <c r="AS30" i="115" s="1"/>
  <c r="AV30" i="115" s="1"/>
  <c r="N26" i="114" s="1"/>
  <c r="AK30" i="115"/>
  <c r="AM30" i="115" s="1"/>
  <c r="AN29" i="115"/>
  <c r="AO29" i="115" s="1"/>
  <c r="AP29" i="115" s="1"/>
  <c r="Y31" i="115"/>
  <c r="X31" i="115"/>
  <c r="N32" i="115"/>
  <c r="I28" i="114"/>
  <c r="AQ31" i="115"/>
  <c r="AI31" i="115"/>
  <c r="K28" i="114"/>
  <c r="G32" i="115"/>
  <c r="M34" i="123"/>
  <c r="N34" i="123" s="1"/>
  <c r="Q34" i="123"/>
  <c r="R34" i="123" s="1"/>
  <c r="AW29" i="115"/>
  <c r="O25" i="114" s="1"/>
  <c r="M25" i="114"/>
  <c r="G35" i="122"/>
  <c r="F35" i="123" s="1"/>
  <c r="E35" i="123"/>
  <c r="R33" i="126"/>
  <c r="Q33" i="126"/>
  <c r="AP30" i="126"/>
  <c r="N26" i="121" s="1"/>
  <c r="O26" i="121" s="1"/>
  <c r="D30" i="121"/>
  <c r="G30" i="121"/>
  <c r="F30" i="121"/>
  <c r="E30" i="121"/>
  <c r="AG31" i="126"/>
  <c r="AH31" i="126" s="1"/>
  <c r="AI31" i="126" s="1"/>
  <c r="F36" i="126"/>
  <c r="S35" i="126"/>
  <c r="C35" i="126"/>
  <c r="D35" i="126" s="1"/>
  <c r="H35" i="126"/>
  <c r="I34" i="126"/>
  <c r="H30" i="121" s="1"/>
  <c r="AB32" i="126"/>
  <c r="AD32" i="126" s="1"/>
  <c r="AJ32" i="126"/>
  <c r="AL32" i="126" s="1"/>
  <c r="AO32" i="126" s="1"/>
  <c r="M28" i="121" s="1"/>
  <c r="K33" i="126"/>
  <c r="J29" i="121" s="1"/>
  <c r="I36" i="115"/>
  <c r="C36" i="115"/>
  <c r="C32" i="114" s="1"/>
  <c r="AQ33" i="115"/>
  <c r="AI33" i="115"/>
  <c r="W35" i="115"/>
  <c r="Z35" i="115" s="1"/>
  <c r="O35" i="115"/>
  <c r="P35" i="115" s="1"/>
  <c r="D35" i="115"/>
  <c r="X33" i="115"/>
  <c r="Y33" i="115"/>
  <c r="I29" i="114"/>
  <c r="L36" i="122"/>
  <c r="C38" i="122"/>
  <c r="I38" i="122"/>
  <c r="W37" i="122"/>
  <c r="O37" i="122"/>
  <c r="P37" i="122" s="1"/>
  <c r="D37" i="122"/>
  <c r="F31" i="114"/>
  <c r="G31" i="114"/>
  <c r="J29" i="114"/>
  <c r="E29" i="114"/>
  <c r="AA31" i="115" l="1"/>
  <c r="AG31" i="115" s="1"/>
  <c r="L26" i="114"/>
  <c r="S35" i="122"/>
  <c r="T35" i="122" s="1"/>
  <c r="AL30" i="115"/>
  <c r="AN30" i="115" s="1"/>
  <c r="AO30" i="115" s="1"/>
  <c r="AP30" i="115" s="1"/>
  <c r="M26" i="114" s="1"/>
  <c r="T33" i="126"/>
  <c r="AT32" i="115"/>
  <c r="AF32" i="115"/>
  <c r="AH32" i="115"/>
  <c r="AU32" i="115"/>
  <c r="J28" i="114"/>
  <c r="E34" i="115"/>
  <c r="G34" i="123"/>
  <c r="AS31" i="115"/>
  <c r="AV31" i="115" s="1"/>
  <c r="N27" i="114" s="1"/>
  <c r="L27" i="114"/>
  <c r="L35" i="123"/>
  <c r="Q35" i="123" s="1"/>
  <c r="R35" i="123" s="1"/>
  <c r="G35" i="123" s="1"/>
  <c r="F35" i="115" s="1"/>
  <c r="S32" i="115"/>
  <c r="T32" i="115" s="1"/>
  <c r="E28" i="114"/>
  <c r="AK31" i="115"/>
  <c r="AP31" i="126"/>
  <c r="N27" i="121" s="1"/>
  <c r="O27" i="121" s="1"/>
  <c r="L27" i="121"/>
  <c r="AF32" i="126"/>
  <c r="AE32" i="126"/>
  <c r="C31" i="121"/>
  <c r="E35" i="126"/>
  <c r="G36" i="126"/>
  <c r="L34" i="126"/>
  <c r="M34" i="126" s="1"/>
  <c r="J34" i="126"/>
  <c r="I30" i="121" s="1"/>
  <c r="P34" i="126"/>
  <c r="AA33" i="126"/>
  <c r="AN33" i="126"/>
  <c r="AM33" i="126"/>
  <c r="Y33" i="126"/>
  <c r="AA33" i="115"/>
  <c r="AG33" i="115" s="1"/>
  <c r="H37" i="115"/>
  <c r="J36" i="115"/>
  <c r="K36" i="115" s="1"/>
  <c r="F37" i="122"/>
  <c r="E37" i="122"/>
  <c r="H39" i="122"/>
  <c r="J38" i="122"/>
  <c r="K38" i="122" s="1"/>
  <c r="Q36" i="122"/>
  <c r="R36" i="122" s="1"/>
  <c r="M36" i="122"/>
  <c r="N36" i="122" s="1"/>
  <c r="S35" i="123" l="1"/>
  <c r="T35" i="123" s="1"/>
  <c r="M35" i="123"/>
  <c r="N35" i="123" s="1"/>
  <c r="AW30" i="115"/>
  <c r="O26" i="114" s="1"/>
  <c r="P26" i="114" s="1"/>
  <c r="E35" i="115"/>
  <c r="Z33" i="126"/>
  <c r="K29" i="121" s="1"/>
  <c r="AM31" i="115"/>
  <c r="AL31" i="115"/>
  <c r="D30" i="114"/>
  <c r="Y32" i="115"/>
  <c r="X32" i="115"/>
  <c r="AI32" i="115"/>
  <c r="AQ32" i="115"/>
  <c r="F34" i="115"/>
  <c r="L34" i="115" s="1"/>
  <c r="S34" i="123"/>
  <c r="T34" i="123" s="1"/>
  <c r="G36" i="122"/>
  <c r="E36" i="123"/>
  <c r="R34" i="126"/>
  <c r="Q34" i="126"/>
  <c r="AG32" i="126"/>
  <c r="AH32" i="126" s="1"/>
  <c r="AI32" i="126" s="1"/>
  <c r="L28" i="121" s="1"/>
  <c r="E31" i="121"/>
  <c r="G31" i="121"/>
  <c r="F31" i="121"/>
  <c r="D31" i="121"/>
  <c r="L37" i="122"/>
  <c r="M37" i="122" s="1"/>
  <c r="N37" i="122" s="1"/>
  <c r="F37" i="126"/>
  <c r="S36" i="126"/>
  <c r="C36" i="126"/>
  <c r="D36" i="126" s="1"/>
  <c r="H36" i="126"/>
  <c r="AB33" i="126"/>
  <c r="AD33" i="126" s="1"/>
  <c r="AJ33" i="126"/>
  <c r="AL33" i="126" s="1"/>
  <c r="AO33" i="126" s="1"/>
  <c r="M29" i="121" s="1"/>
  <c r="I35" i="126"/>
  <c r="H31" i="121" s="1"/>
  <c r="K34" i="126"/>
  <c r="J30" i="121" s="1"/>
  <c r="O36" i="115"/>
  <c r="P36" i="115" s="1"/>
  <c r="W36" i="115"/>
  <c r="Z36" i="115" s="1"/>
  <c r="D36" i="115"/>
  <c r="L35" i="115"/>
  <c r="D31" i="114"/>
  <c r="I37" i="115"/>
  <c r="C37" i="115"/>
  <c r="C33" i="114" s="1"/>
  <c r="AS33" i="115"/>
  <c r="AV33" i="115" s="1"/>
  <c r="AK33" i="115"/>
  <c r="C39" i="122"/>
  <c r="I39" i="122"/>
  <c r="W38" i="122"/>
  <c r="O38" i="122"/>
  <c r="P38" i="122" s="1"/>
  <c r="D38" i="122"/>
  <c r="F32" i="114"/>
  <c r="G32" i="114"/>
  <c r="L29" i="114"/>
  <c r="Q37" i="122" l="1"/>
  <c r="R37" i="122" s="1"/>
  <c r="E37" i="123" s="1"/>
  <c r="T34" i="126"/>
  <c r="AA32" i="115"/>
  <c r="AG32" i="115" s="1"/>
  <c r="L28" i="114" s="1"/>
  <c r="AN31" i="115"/>
  <c r="AO31" i="115" s="1"/>
  <c r="AP31" i="115" s="1"/>
  <c r="AW31" i="115" s="1"/>
  <c r="O27" i="114" s="1"/>
  <c r="P27" i="114" s="1"/>
  <c r="AP32" i="126"/>
  <c r="N28" i="121" s="1"/>
  <c r="O28" i="121" s="1"/>
  <c r="Q34" i="115"/>
  <c r="R34" i="115" s="1"/>
  <c r="M34" i="115"/>
  <c r="H30" i="114"/>
  <c r="G37" i="122"/>
  <c r="S36" i="122"/>
  <c r="T36" i="122" s="1"/>
  <c r="F36" i="123"/>
  <c r="L36" i="123" s="1"/>
  <c r="Q36" i="123" s="1"/>
  <c r="R36" i="123" s="1"/>
  <c r="P35" i="126"/>
  <c r="J35" i="126"/>
  <c r="I31" i="121" s="1"/>
  <c r="L35" i="126"/>
  <c r="M35" i="126" s="1"/>
  <c r="C32" i="121"/>
  <c r="E36" i="126"/>
  <c r="AM34" i="126"/>
  <c r="AA34" i="126"/>
  <c r="AN34" i="126"/>
  <c r="Y34" i="126"/>
  <c r="AF33" i="126"/>
  <c r="AE33" i="126"/>
  <c r="G37" i="126"/>
  <c r="AM33" i="115"/>
  <c r="AL33" i="115"/>
  <c r="M35" i="115"/>
  <c r="N35" i="115" s="1"/>
  <c r="Q35" i="115"/>
  <c r="R35" i="115" s="1"/>
  <c r="H38" i="115"/>
  <c r="J37" i="115"/>
  <c r="K37" i="115" s="1"/>
  <c r="H31" i="114"/>
  <c r="H40" i="122"/>
  <c r="J39" i="122"/>
  <c r="K39" i="122" s="1"/>
  <c r="F38" i="122"/>
  <c r="E38" i="122"/>
  <c r="N29" i="114"/>
  <c r="AK32" i="115" l="1"/>
  <c r="AS32" i="115"/>
  <c r="AV32" i="115" s="1"/>
  <c r="N28" i="114" s="1"/>
  <c r="Z34" i="126"/>
  <c r="K30" i="121" s="1"/>
  <c r="M27" i="114"/>
  <c r="E36" i="115"/>
  <c r="G36" i="123"/>
  <c r="F36" i="115" s="1"/>
  <c r="L36" i="115" s="1"/>
  <c r="AL32" i="115"/>
  <c r="AM32" i="115"/>
  <c r="G35" i="115"/>
  <c r="K31" i="114"/>
  <c r="M36" i="123"/>
  <c r="N36" i="123" s="1"/>
  <c r="N34" i="115"/>
  <c r="I30" i="114"/>
  <c r="K30" i="114"/>
  <c r="G34" i="115"/>
  <c r="S37" i="122"/>
  <c r="T37" i="122" s="1"/>
  <c r="F37" i="123"/>
  <c r="L37" i="123" s="1"/>
  <c r="Q37" i="123" s="1"/>
  <c r="R37" i="123" s="1"/>
  <c r="G37" i="123" s="1"/>
  <c r="F37" i="115" s="1"/>
  <c r="R35" i="126"/>
  <c r="Q35" i="126"/>
  <c r="F32" i="121"/>
  <c r="E32" i="121"/>
  <c r="D32" i="121"/>
  <c r="H32" i="121"/>
  <c r="G32" i="121"/>
  <c r="AN33" i="115"/>
  <c r="AO33" i="115" s="1"/>
  <c r="AP33" i="115" s="1"/>
  <c r="AW33" i="115" s="1"/>
  <c r="K35" i="126"/>
  <c r="J31" i="121" s="1"/>
  <c r="AJ34" i="126"/>
  <c r="AL34" i="126" s="1"/>
  <c r="AO34" i="126" s="1"/>
  <c r="M30" i="121" s="1"/>
  <c r="AB34" i="126"/>
  <c r="AD34" i="126" s="1"/>
  <c r="C37" i="126"/>
  <c r="D37" i="126" s="1"/>
  <c r="S37" i="126"/>
  <c r="F38" i="126"/>
  <c r="H37" i="126"/>
  <c r="I36" i="126"/>
  <c r="AG33" i="126"/>
  <c r="AH33" i="126" s="1"/>
  <c r="AI33" i="126" s="1"/>
  <c r="L29" i="121" s="1"/>
  <c r="I31" i="114"/>
  <c r="I38" i="115"/>
  <c r="C38" i="115"/>
  <c r="C34" i="114" s="1"/>
  <c r="O37" i="115"/>
  <c r="P37" i="115" s="1"/>
  <c r="W37" i="115"/>
  <c r="Z37" i="115" s="1"/>
  <c r="D37" i="115"/>
  <c r="AH35" i="115"/>
  <c r="AU35" i="115"/>
  <c r="AT35" i="115"/>
  <c r="AF35" i="115"/>
  <c r="D32" i="114"/>
  <c r="L38" i="122"/>
  <c r="M38" i="122" s="1"/>
  <c r="N38" i="122" s="1"/>
  <c r="M37" i="123"/>
  <c r="N37" i="123" s="1"/>
  <c r="J31" i="114"/>
  <c r="D39" i="122"/>
  <c r="S39" i="122"/>
  <c r="T39" i="122" s="1"/>
  <c r="W39" i="122"/>
  <c r="O39" i="122"/>
  <c r="P39" i="122" s="1"/>
  <c r="C40" i="122"/>
  <c r="I40" i="122"/>
  <c r="F33" i="114"/>
  <c r="G33" i="114"/>
  <c r="S36" i="123" l="1"/>
  <c r="T36" i="123" s="1"/>
  <c r="T35" i="126"/>
  <c r="AN32" i="115"/>
  <c r="AO32" i="115" s="1"/>
  <c r="AP32" i="115" s="1"/>
  <c r="M28" i="114" s="1"/>
  <c r="AF34" i="115"/>
  <c r="AU34" i="115"/>
  <c r="AH34" i="115"/>
  <c r="AT34" i="115"/>
  <c r="J30" i="114"/>
  <c r="S34" i="115"/>
  <c r="T34" i="115" s="1"/>
  <c r="E30" i="114"/>
  <c r="E37" i="115"/>
  <c r="M29" i="114"/>
  <c r="AF34" i="126"/>
  <c r="AE34" i="126"/>
  <c r="G38" i="126"/>
  <c r="AP33" i="126"/>
  <c r="N29" i="121" s="1"/>
  <c r="O29" i="121" s="1"/>
  <c r="AA35" i="126"/>
  <c r="AM35" i="126"/>
  <c r="AN35" i="126"/>
  <c r="Y35" i="126"/>
  <c r="P36" i="126"/>
  <c r="J36" i="126"/>
  <c r="I32" i="121" s="1"/>
  <c r="L36" i="126"/>
  <c r="M36" i="126" s="1"/>
  <c r="C33" i="121"/>
  <c r="E37" i="126"/>
  <c r="S37" i="123"/>
  <c r="T37" i="123" s="1"/>
  <c r="Q38" i="122"/>
  <c r="R38" i="122" s="1"/>
  <c r="AQ35" i="115"/>
  <c r="AI35" i="115"/>
  <c r="Q36" i="115"/>
  <c r="R36" i="115" s="1"/>
  <c r="M36" i="115"/>
  <c r="N36" i="115" s="1"/>
  <c r="H39" i="115"/>
  <c r="J38" i="115"/>
  <c r="K38" i="115" s="1"/>
  <c r="S35" i="115"/>
  <c r="T35" i="115" s="1"/>
  <c r="E31" i="114"/>
  <c r="H32" i="114"/>
  <c r="H41" i="122"/>
  <c r="J40" i="122"/>
  <c r="K40" i="122" s="1"/>
  <c r="E39" i="122"/>
  <c r="F39" i="122"/>
  <c r="O29" i="114"/>
  <c r="AW32" i="115" l="1"/>
  <c r="O28" i="114" s="1"/>
  <c r="P28" i="114" s="1"/>
  <c r="K31" i="121"/>
  <c r="Z35" i="126"/>
  <c r="P29" i="114"/>
  <c r="AG34" i="126"/>
  <c r="AH34" i="126" s="1"/>
  <c r="AI34" i="126" s="1"/>
  <c r="L30" i="121" s="1"/>
  <c r="G36" i="115"/>
  <c r="S36" i="115" s="1"/>
  <c r="T36" i="115" s="1"/>
  <c r="K32" i="114"/>
  <c r="AQ34" i="115"/>
  <c r="AI34" i="115"/>
  <c r="Y34" i="115"/>
  <c r="X34" i="115"/>
  <c r="G38" i="122"/>
  <c r="E38" i="123"/>
  <c r="Q36" i="126"/>
  <c r="R36" i="126"/>
  <c r="L37" i="115"/>
  <c r="Q37" i="115" s="1"/>
  <c r="R37" i="115" s="1"/>
  <c r="G33" i="121"/>
  <c r="F33" i="121"/>
  <c r="E33" i="121"/>
  <c r="D33" i="121"/>
  <c r="AB35" i="126"/>
  <c r="AD35" i="126" s="1"/>
  <c r="AJ35" i="126"/>
  <c r="AL35" i="126" s="1"/>
  <c r="AO35" i="126" s="1"/>
  <c r="M31" i="121" s="1"/>
  <c r="I37" i="126"/>
  <c r="H33" i="121" s="1"/>
  <c r="F39" i="126"/>
  <c r="C38" i="126"/>
  <c r="D38" i="126" s="1"/>
  <c r="S38" i="126"/>
  <c r="H38" i="126"/>
  <c r="K36" i="126"/>
  <c r="J32" i="121" s="1"/>
  <c r="D33" i="114"/>
  <c r="I39" i="115"/>
  <c r="C39" i="115"/>
  <c r="C35" i="114" s="1"/>
  <c r="X35" i="115"/>
  <c r="Y35" i="115"/>
  <c r="W38" i="115"/>
  <c r="Z38" i="115" s="1"/>
  <c r="O38" i="115"/>
  <c r="P38" i="115" s="1"/>
  <c r="D38" i="115"/>
  <c r="AT36" i="115"/>
  <c r="AH36" i="115"/>
  <c r="AU36" i="115"/>
  <c r="AF36" i="115"/>
  <c r="I32" i="114"/>
  <c r="L39" i="122"/>
  <c r="M39" i="122" s="1"/>
  <c r="N39" i="122" s="1"/>
  <c r="I41" i="122"/>
  <c r="C41" i="122"/>
  <c r="D40" i="122"/>
  <c r="S40" i="122"/>
  <c r="T40" i="122" s="1"/>
  <c r="W40" i="122"/>
  <c r="O40" i="122"/>
  <c r="P40" i="122" s="1"/>
  <c r="F34" i="114"/>
  <c r="J32" i="114"/>
  <c r="G34" i="114"/>
  <c r="AP34" i="126" l="1"/>
  <c r="N30" i="121" s="1"/>
  <c r="O30" i="121" s="1"/>
  <c r="M37" i="115"/>
  <c r="N37" i="115" s="1"/>
  <c r="AU37" i="115" s="1"/>
  <c r="AA34" i="115"/>
  <c r="G37" i="115"/>
  <c r="K33" i="114"/>
  <c r="S38" i="122"/>
  <c r="T38" i="122" s="1"/>
  <c r="F38" i="123"/>
  <c r="L38" i="123" s="1"/>
  <c r="Q38" i="123" s="1"/>
  <c r="R38" i="123" s="1"/>
  <c r="T36" i="126"/>
  <c r="P35" i="114"/>
  <c r="K35" i="114"/>
  <c r="AM36" i="126"/>
  <c r="AA36" i="126"/>
  <c r="AN36" i="126"/>
  <c r="Y36" i="126"/>
  <c r="J37" i="126"/>
  <c r="I33" i="121" s="1"/>
  <c r="P37" i="126"/>
  <c r="L37" i="126"/>
  <c r="M37" i="126" s="1"/>
  <c r="AF35" i="126"/>
  <c r="AE35" i="126"/>
  <c r="C34" i="121"/>
  <c r="E38" i="126"/>
  <c r="G39" i="126"/>
  <c r="E32" i="114"/>
  <c r="AA35" i="115"/>
  <c r="AT37" i="115"/>
  <c r="AH37" i="115"/>
  <c r="AF37" i="115"/>
  <c r="X36" i="115"/>
  <c r="Y36" i="115"/>
  <c r="AQ36" i="115"/>
  <c r="AI36" i="115"/>
  <c r="H40" i="115"/>
  <c r="J39" i="115"/>
  <c r="K39" i="115" s="1"/>
  <c r="S37" i="115"/>
  <c r="T37" i="115" s="1"/>
  <c r="Q39" i="122"/>
  <c r="R39" i="122" s="1"/>
  <c r="H33" i="114"/>
  <c r="H42" i="122"/>
  <c r="J41" i="122"/>
  <c r="K41" i="122" s="1"/>
  <c r="F40" i="122"/>
  <c r="E40" i="122"/>
  <c r="Z36" i="126" l="1"/>
  <c r="AG35" i="115"/>
  <c r="L31" i="114" s="1"/>
  <c r="AG34" i="115"/>
  <c r="L30" i="114" s="1"/>
  <c r="AS34" i="115"/>
  <c r="AV34" i="115" s="1"/>
  <c r="N30" i="114" s="1"/>
  <c r="M38" i="123"/>
  <c r="N38" i="123" s="1"/>
  <c r="E38" i="115"/>
  <c r="D34" i="114" s="1"/>
  <c r="G38" i="123"/>
  <c r="G39" i="122"/>
  <c r="G39" i="123"/>
  <c r="F39" i="115" s="1"/>
  <c r="E39" i="123"/>
  <c r="K32" i="121"/>
  <c r="Q37" i="126"/>
  <c r="R37" i="126"/>
  <c r="AG35" i="126"/>
  <c r="AH35" i="126" s="1"/>
  <c r="AI35" i="126" s="1"/>
  <c r="L31" i="121" s="1"/>
  <c r="G34" i="121"/>
  <c r="F34" i="121"/>
  <c r="D34" i="121"/>
  <c r="E34" i="121"/>
  <c r="AJ36" i="126"/>
  <c r="AL36" i="126" s="1"/>
  <c r="AO36" i="126" s="1"/>
  <c r="M32" i="121" s="1"/>
  <c r="AB36" i="126"/>
  <c r="AD36" i="126" s="1"/>
  <c r="F40" i="126"/>
  <c r="C39" i="126"/>
  <c r="D39" i="126" s="1"/>
  <c r="S39" i="126"/>
  <c r="H39" i="126"/>
  <c r="I38" i="126"/>
  <c r="H34" i="121" s="1"/>
  <c r="K37" i="126"/>
  <c r="J33" i="121" s="1"/>
  <c r="AS35" i="115"/>
  <c r="AV35" i="115" s="1"/>
  <c r="N31" i="114" s="1"/>
  <c r="AK35" i="115"/>
  <c r="AL35" i="115" s="1"/>
  <c r="I40" i="115"/>
  <c r="C40" i="115"/>
  <c r="C36" i="114" s="1"/>
  <c r="K36" i="114" s="1"/>
  <c r="X37" i="115"/>
  <c r="Y37" i="115"/>
  <c r="S39" i="115"/>
  <c r="T39" i="115" s="1"/>
  <c r="W39" i="115"/>
  <c r="Z39" i="115" s="1"/>
  <c r="O39" i="115"/>
  <c r="P39" i="115" s="1"/>
  <c r="D39" i="115"/>
  <c r="AQ37" i="115"/>
  <c r="AI37" i="115"/>
  <c r="AA36" i="115"/>
  <c r="I33" i="114"/>
  <c r="L40" i="122"/>
  <c r="Q40" i="122" s="1"/>
  <c r="R40" i="122" s="1"/>
  <c r="C42" i="122"/>
  <c r="I42" i="122"/>
  <c r="W41" i="122"/>
  <c r="O41" i="122"/>
  <c r="P41" i="122" s="1"/>
  <c r="D41" i="122"/>
  <c r="S41" i="122"/>
  <c r="T41" i="122" s="1"/>
  <c r="J33" i="114"/>
  <c r="E33" i="114"/>
  <c r="AK34" i="115" l="1"/>
  <c r="AM34" i="115" s="1"/>
  <c r="AG36" i="115"/>
  <c r="L32" i="114" s="1"/>
  <c r="F38" i="115"/>
  <c r="L38" i="115" s="1"/>
  <c r="Q38" i="115" s="1"/>
  <c r="R38" i="115" s="1"/>
  <c r="S38" i="123"/>
  <c r="T38" i="123" s="1"/>
  <c r="AP35" i="126"/>
  <c r="N31" i="121" s="1"/>
  <c r="O31" i="121" s="1"/>
  <c r="G40" i="122"/>
  <c r="G40" i="123"/>
  <c r="F40" i="115" s="1"/>
  <c r="E40" i="123"/>
  <c r="F39" i="123"/>
  <c r="L39" i="123" s="1"/>
  <c r="T37" i="126"/>
  <c r="M38" i="115"/>
  <c r="N38" i="115" s="1"/>
  <c r="AU38" i="115" s="1"/>
  <c r="AF36" i="126"/>
  <c r="AE36" i="126"/>
  <c r="AM35" i="115"/>
  <c r="AN35" i="115" s="1"/>
  <c r="AO35" i="115" s="1"/>
  <c r="AP35" i="115" s="1"/>
  <c r="AM37" i="126"/>
  <c r="AA37" i="126"/>
  <c r="AN37" i="126"/>
  <c r="Y37" i="126"/>
  <c r="P38" i="126"/>
  <c r="J38" i="126"/>
  <c r="I34" i="121" s="1"/>
  <c r="L38" i="126"/>
  <c r="M38" i="126" s="1"/>
  <c r="C35" i="121"/>
  <c r="E39" i="126"/>
  <c r="G40" i="126"/>
  <c r="AA37" i="115"/>
  <c r="M40" i="122"/>
  <c r="N40" i="122" s="1"/>
  <c r="AS36" i="115"/>
  <c r="AV36" i="115" s="1"/>
  <c r="N32" i="114" s="1"/>
  <c r="AK36" i="115"/>
  <c r="AF38" i="115"/>
  <c r="Y39" i="115"/>
  <c r="X39" i="115"/>
  <c r="H41" i="115"/>
  <c r="J40" i="115"/>
  <c r="K40" i="115" s="1"/>
  <c r="F36" i="114"/>
  <c r="H34" i="114"/>
  <c r="F41" i="122"/>
  <c r="E41" i="122"/>
  <c r="H43" i="122"/>
  <c r="J42" i="122"/>
  <c r="K42" i="122" s="1"/>
  <c r="F35" i="114"/>
  <c r="G35" i="114"/>
  <c r="AT38" i="115" l="1"/>
  <c r="AL34" i="115"/>
  <c r="AN34" i="115" s="1"/>
  <c r="AO34" i="115" s="1"/>
  <c r="AP34" i="115" s="1"/>
  <c r="AW34" i="115" s="1"/>
  <c r="O30" i="114" s="1"/>
  <c r="P30" i="114" s="1"/>
  <c r="AG37" i="115"/>
  <c r="AS37" i="115" s="1"/>
  <c r="AV37" i="115" s="1"/>
  <c r="N33" i="114" s="1"/>
  <c r="K33" i="121"/>
  <c r="Z37" i="126"/>
  <c r="M30" i="114"/>
  <c r="G38" i="115"/>
  <c r="S38" i="115" s="1"/>
  <c r="T38" i="115" s="1"/>
  <c r="Y38" i="115" s="1"/>
  <c r="K34" i="114"/>
  <c r="M39" i="123"/>
  <c r="N39" i="123" s="1"/>
  <c r="Q39" i="123"/>
  <c r="R39" i="123" s="1"/>
  <c r="E39" i="115" s="1"/>
  <c r="L39" i="115" s="1"/>
  <c r="Q39" i="115" s="1"/>
  <c r="R39" i="115" s="1"/>
  <c r="G39" i="115" s="1"/>
  <c r="F40" i="123"/>
  <c r="L40" i="123" s="1"/>
  <c r="Q38" i="126"/>
  <c r="R38" i="126"/>
  <c r="AH38" i="115"/>
  <c r="AI38" i="115" s="1"/>
  <c r="AG36" i="126"/>
  <c r="AH36" i="126" s="1"/>
  <c r="AI36" i="126" s="1"/>
  <c r="E35" i="121"/>
  <c r="D35" i="121"/>
  <c r="G35" i="121"/>
  <c r="F35" i="121"/>
  <c r="AW35" i="115"/>
  <c r="O31" i="114" s="1"/>
  <c r="P31" i="114" s="1"/>
  <c r="M31" i="114"/>
  <c r="I39" i="126"/>
  <c r="H35" i="121" s="1"/>
  <c r="K38" i="126"/>
  <c r="J34" i="121" s="1"/>
  <c r="C40" i="126"/>
  <c r="D40" i="126" s="1"/>
  <c r="F41" i="126"/>
  <c r="S40" i="126"/>
  <c r="H40" i="126"/>
  <c r="AK37" i="115"/>
  <c r="AJ37" i="126"/>
  <c r="AB37" i="126"/>
  <c r="AD37" i="126" s="1"/>
  <c r="AA39" i="115"/>
  <c r="W40" i="115"/>
  <c r="Z40" i="115" s="1"/>
  <c r="O40" i="115"/>
  <c r="P40" i="115" s="1"/>
  <c r="S40" i="115"/>
  <c r="T40" i="115" s="1"/>
  <c r="D40" i="115"/>
  <c r="G36" i="114"/>
  <c r="I41" i="115"/>
  <c r="C41" i="115"/>
  <c r="C37" i="114" s="1"/>
  <c r="K37" i="114" s="1"/>
  <c r="AM36" i="115"/>
  <c r="AL36" i="115"/>
  <c r="I34" i="114"/>
  <c r="L33" i="114"/>
  <c r="L41" i="122"/>
  <c r="Q41" i="122" s="1"/>
  <c r="R41" i="122" s="1"/>
  <c r="C43" i="122"/>
  <c r="I43" i="122"/>
  <c r="W42" i="122"/>
  <c r="O42" i="122"/>
  <c r="P42" i="122" s="1"/>
  <c r="D42" i="122"/>
  <c r="S42" i="122"/>
  <c r="T42" i="122" s="1"/>
  <c r="J34" i="114"/>
  <c r="AL37" i="126" l="1"/>
  <c r="AO37" i="126" s="1"/>
  <c r="M33" i="121" s="1"/>
  <c r="X38" i="115"/>
  <c r="E34" i="114"/>
  <c r="AQ38" i="115"/>
  <c r="D35" i="114"/>
  <c r="M39" i="115"/>
  <c r="N39" i="115" s="1"/>
  <c r="AF39" i="115" s="1"/>
  <c r="AG39" i="115" s="1"/>
  <c r="Q40" i="123"/>
  <c r="R40" i="123" s="1"/>
  <c r="E40" i="115" s="1"/>
  <c r="M40" i="123"/>
  <c r="N40" i="123" s="1"/>
  <c r="AP36" i="126"/>
  <c r="N32" i="121" s="1"/>
  <c r="O32" i="121" s="1"/>
  <c r="L32" i="121"/>
  <c r="G41" i="122"/>
  <c r="F41" i="123" s="1"/>
  <c r="G41" i="123"/>
  <c r="F41" i="115" s="1"/>
  <c r="E41" i="123"/>
  <c r="T38" i="126"/>
  <c r="AF37" i="126"/>
  <c r="AE37" i="126"/>
  <c r="AA38" i="126"/>
  <c r="AM38" i="126"/>
  <c r="AN38" i="126"/>
  <c r="Y38" i="126"/>
  <c r="G41" i="126"/>
  <c r="AL37" i="115"/>
  <c r="AM37" i="115"/>
  <c r="J39" i="126"/>
  <c r="I35" i="121" s="1"/>
  <c r="L39" i="126"/>
  <c r="M39" i="126" s="1"/>
  <c r="P39" i="126"/>
  <c r="C36" i="121"/>
  <c r="E40" i="126"/>
  <c r="AN36" i="115"/>
  <c r="AO36" i="115" s="1"/>
  <c r="AP36" i="115" s="1"/>
  <c r="AW36" i="115" s="1"/>
  <c r="O32" i="114" s="1"/>
  <c r="P32" i="114" s="1"/>
  <c r="AA38" i="115"/>
  <c r="AU39" i="115"/>
  <c r="E35" i="114"/>
  <c r="H42" i="115"/>
  <c r="J41" i="115"/>
  <c r="K41" i="115" s="1"/>
  <c r="G37" i="114" s="1"/>
  <c r="F37" i="114"/>
  <c r="X40" i="115"/>
  <c r="Y40" i="115"/>
  <c r="M41" i="122"/>
  <c r="N41" i="122" s="1"/>
  <c r="H44" i="122"/>
  <c r="J43" i="122"/>
  <c r="K43" i="122" s="1"/>
  <c r="F42" i="122"/>
  <c r="E42" i="122"/>
  <c r="H35" i="114"/>
  <c r="AT39" i="115" l="1"/>
  <c r="AH39" i="115"/>
  <c r="Z38" i="126"/>
  <c r="AG38" i="115"/>
  <c r="AS38" i="115" s="1"/>
  <c r="AV38" i="115" s="1"/>
  <c r="K34" i="121"/>
  <c r="L41" i="123"/>
  <c r="Q41" i="123" s="1"/>
  <c r="R41" i="123" s="1"/>
  <c r="R39" i="126"/>
  <c r="Q39" i="126"/>
  <c r="F36" i="121"/>
  <c r="H36" i="121"/>
  <c r="G36" i="121"/>
  <c r="E36" i="121"/>
  <c r="D36" i="121"/>
  <c r="K39" i="126"/>
  <c r="J35" i="121" s="1"/>
  <c r="I40" i="126"/>
  <c r="AN37" i="115"/>
  <c r="AO37" i="115" s="1"/>
  <c r="AP37" i="115" s="1"/>
  <c r="AJ38" i="126"/>
  <c r="AL38" i="126" s="1"/>
  <c r="AO38" i="126" s="1"/>
  <c r="M34" i="121" s="1"/>
  <c r="AB38" i="126"/>
  <c r="AD38" i="126" s="1"/>
  <c r="M32" i="114"/>
  <c r="C41" i="126"/>
  <c r="D41" i="126" s="1"/>
  <c r="F42" i="126"/>
  <c r="S41" i="126"/>
  <c r="H41" i="126"/>
  <c r="AK38" i="115"/>
  <c r="AL38" i="115" s="1"/>
  <c r="AG37" i="126"/>
  <c r="I42" i="115"/>
  <c r="C42" i="115"/>
  <c r="C38" i="114" s="1"/>
  <c r="K38" i="114" s="1"/>
  <c r="AQ39" i="115"/>
  <c r="AS39" i="115" s="1"/>
  <c r="AV39" i="115" s="1"/>
  <c r="AI39" i="115"/>
  <c r="AK39" i="115" s="1"/>
  <c r="AA40" i="115"/>
  <c r="W41" i="115"/>
  <c r="Z41" i="115" s="1"/>
  <c r="O41" i="115"/>
  <c r="P41" i="115" s="1"/>
  <c r="S41" i="115"/>
  <c r="T41" i="115" s="1"/>
  <c r="D41" i="115"/>
  <c r="L40" i="115"/>
  <c r="H36" i="114" s="1"/>
  <c r="D36" i="114"/>
  <c r="J35" i="114"/>
  <c r="L42" i="122"/>
  <c r="M42" i="122" s="1"/>
  <c r="N42" i="122" s="1"/>
  <c r="C44" i="122"/>
  <c r="I44" i="122"/>
  <c r="D43" i="122"/>
  <c r="S43" i="122"/>
  <c r="T43" i="122" s="1"/>
  <c r="W43" i="122"/>
  <c r="O43" i="122"/>
  <c r="P43" i="122" s="1"/>
  <c r="I35" i="114"/>
  <c r="L34" i="114"/>
  <c r="M41" i="123" l="1"/>
  <c r="N41" i="123" s="1"/>
  <c r="T39" i="126"/>
  <c r="E41" i="115"/>
  <c r="L41" i="115" s="1"/>
  <c r="AM38" i="115"/>
  <c r="AN38" i="115" s="1"/>
  <c r="AO38" i="115" s="1"/>
  <c r="AP38" i="115" s="1"/>
  <c r="AW38" i="115" s="1"/>
  <c r="AE38" i="126"/>
  <c r="AF38" i="126"/>
  <c r="AW37" i="115"/>
  <c r="O33" i="114" s="1"/>
  <c r="P33" i="114" s="1"/>
  <c r="M33" i="114"/>
  <c r="G42" i="126"/>
  <c r="AH37" i="126"/>
  <c r="AI37" i="126" s="1"/>
  <c r="L33" i="121" s="1"/>
  <c r="C37" i="121"/>
  <c r="E41" i="126"/>
  <c r="P40" i="126"/>
  <c r="J40" i="126"/>
  <c r="I36" i="121" s="1"/>
  <c r="L40" i="126"/>
  <c r="M40" i="126" s="1"/>
  <c r="AM39" i="126"/>
  <c r="AN39" i="126"/>
  <c r="AA39" i="126"/>
  <c r="Y39" i="126"/>
  <c r="Z39" i="126" s="1"/>
  <c r="Y41" i="115"/>
  <c r="X41" i="115"/>
  <c r="AL39" i="115"/>
  <c r="AM39" i="115"/>
  <c r="M40" i="115"/>
  <c r="N40" i="115" s="1"/>
  <c r="Q40" i="115"/>
  <c r="R40" i="115" s="1"/>
  <c r="G40" i="115" s="1"/>
  <c r="H43" i="115"/>
  <c r="J42" i="115"/>
  <c r="K42" i="115" s="1"/>
  <c r="F38" i="114"/>
  <c r="Q42" i="122"/>
  <c r="R42" i="122" s="1"/>
  <c r="J44" i="122"/>
  <c r="K44" i="122" s="1"/>
  <c r="F43" i="122"/>
  <c r="E43" i="122"/>
  <c r="L35" i="114"/>
  <c r="N34" i="114"/>
  <c r="K35" i="121" l="1"/>
  <c r="G42" i="122"/>
  <c r="E42" i="123"/>
  <c r="G42" i="123"/>
  <c r="F42" i="115" s="1"/>
  <c r="Q40" i="126"/>
  <c r="R40" i="126"/>
  <c r="G37" i="121"/>
  <c r="F37" i="121"/>
  <c r="E37" i="121"/>
  <c r="D37" i="121"/>
  <c r="H37" i="121"/>
  <c r="AG38" i="126"/>
  <c r="AH38" i="126" s="1"/>
  <c r="AI38" i="126" s="1"/>
  <c r="AP37" i="126"/>
  <c r="N33" i="121" s="1"/>
  <c r="O33" i="121" s="1"/>
  <c r="D37" i="114"/>
  <c r="AJ39" i="126"/>
  <c r="AL39" i="126" s="1"/>
  <c r="AO39" i="126" s="1"/>
  <c r="M35" i="121" s="1"/>
  <c r="AB39" i="126"/>
  <c r="AD39" i="126" s="1"/>
  <c r="I41" i="126"/>
  <c r="K40" i="126"/>
  <c r="J36" i="121" s="1"/>
  <c r="C42" i="126"/>
  <c r="D42" i="126" s="1"/>
  <c r="S42" i="126"/>
  <c r="F43" i="126"/>
  <c r="H42" i="126"/>
  <c r="AA41" i="115"/>
  <c r="AN39" i="115"/>
  <c r="AO39" i="115" s="1"/>
  <c r="AP39" i="115" s="1"/>
  <c r="AW39" i="115" s="1"/>
  <c r="AT40" i="115"/>
  <c r="AH40" i="115"/>
  <c r="AU40" i="115"/>
  <c r="AF40" i="115"/>
  <c r="AG40" i="115" s="1"/>
  <c r="I43" i="115"/>
  <c r="C43" i="115"/>
  <c r="C39" i="114" s="1"/>
  <c r="K39" i="114" s="1"/>
  <c r="I36" i="114"/>
  <c r="J36" i="114"/>
  <c r="S42" i="115"/>
  <c r="T42" i="115" s="1"/>
  <c r="W42" i="115"/>
  <c r="Z42" i="115" s="1"/>
  <c r="O42" i="115"/>
  <c r="P42" i="115" s="1"/>
  <c r="D42" i="115"/>
  <c r="G38" i="114"/>
  <c r="Q41" i="115"/>
  <c r="R41" i="115" s="1"/>
  <c r="G41" i="115" s="1"/>
  <c r="M41" i="115"/>
  <c r="N41" i="115" s="1"/>
  <c r="E36" i="114"/>
  <c r="L43" i="122"/>
  <c r="M43" i="122" s="1"/>
  <c r="N43" i="122" s="1"/>
  <c r="D44" i="122"/>
  <c r="S44" i="122"/>
  <c r="T44" i="122" s="1"/>
  <c r="W44" i="122"/>
  <c r="O44" i="122"/>
  <c r="P44" i="122" s="1"/>
  <c r="M34" i="114"/>
  <c r="N35" i="114"/>
  <c r="AP38" i="126" l="1"/>
  <c r="N34" i="121" s="1"/>
  <c r="O34" i="121" s="1"/>
  <c r="L34" i="121"/>
  <c r="F42" i="123"/>
  <c r="L42" i="123" s="1"/>
  <c r="T40" i="126"/>
  <c r="Q43" i="122"/>
  <c r="R43" i="122" s="1"/>
  <c r="AE39" i="126"/>
  <c r="AF39" i="126"/>
  <c r="C38" i="121"/>
  <c r="E42" i="126"/>
  <c r="AM40" i="126"/>
  <c r="AA40" i="126"/>
  <c r="AN40" i="126"/>
  <c r="Y40" i="126"/>
  <c r="G43" i="126"/>
  <c r="J41" i="126"/>
  <c r="I37" i="121" s="1"/>
  <c r="P41" i="126"/>
  <c r="L41" i="126"/>
  <c r="M41" i="126" s="1"/>
  <c r="AT41" i="115"/>
  <c r="AH41" i="115"/>
  <c r="AU41" i="115"/>
  <c r="AF41" i="115"/>
  <c r="AG41" i="115" s="1"/>
  <c r="H44" i="115"/>
  <c r="J43" i="115"/>
  <c r="K43" i="115" s="1"/>
  <c r="G39" i="114" s="1"/>
  <c r="F39" i="114"/>
  <c r="X42" i="115"/>
  <c r="Y42" i="115"/>
  <c r="AI40" i="115"/>
  <c r="AK40" i="115" s="1"/>
  <c r="AQ40" i="115"/>
  <c r="AS40" i="115" s="1"/>
  <c r="AV40" i="115" s="1"/>
  <c r="H37" i="114"/>
  <c r="F44" i="122"/>
  <c r="E44" i="122"/>
  <c r="O34" i="114"/>
  <c r="P34" i="114" s="1"/>
  <c r="M35" i="114"/>
  <c r="L36" i="114"/>
  <c r="K36" i="121" l="1"/>
  <c r="Z40" i="126"/>
  <c r="M42" i="123"/>
  <c r="N42" i="123" s="1"/>
  <c r="Q42" i="123"/>
  <c r="R42" i="123" s="1"/>
  <c r="E42" i="115" s="1"/>
  <c r="L42" i="115" s="1"/>
  <c r="Q42" i="115" s="1"/>
  <c r="R42" i="115" s="1"/>
  <c r="G42" i="115" s="1"/>
  <c r="G43" i="122"/>
  <c r="F43" i="123" s="1"/>
  <c r="G43" i="123"/>
  <c r="F43" i="115" s="1"/>
  <c r="E43" i="123"/>
  <c r="Q41" i="126"/>
  <c r="R41" i="126"/>
  <c r="AG39" i="126"/>
  <c r="AH39" i="126" s="1"/>
  <c r="AI39" i="126" s="1"/>
  <c r="D38" i="121"/>
  <c r="H38" i="121"/>
  <c r="G38" i="121"/>
  <c r="F38" i="121"/>
  <c r="E38" i="121"/>
  <c r="F44" i="126"/>
  <c r="C43" i="126"/>
  <c r="D43" i="126" s="1"/>
  <c r="S43" i="126"/>
  <c r="H43" i="126"/>
  <c r="I42" i="126"/>
  <c r="AJ40" i="126"/>
  <c r="AL40" i="126" s="1"/>
  <c r="AO40" i="126" s="1"/>
  <c r="M36" i="121" s="1"/>
  <c r="AB40" i="126"/>
  <c r="AD40" i="126" s="1"/>
  <c r="K41" i="126"/>
  <c r="J37" i="121" s="1"/>
  <c r="L44" i="122"/>
  <c r="M44" i="122" s="1"/>
  <c r="N44" i="122" s="1"/>
  <c r="AA42" i="115"/>
  <c r="AM40" i="115"/>
  <c r="AL40" i="115"/>
  <c r="O43" i="115"/>
  <c r="P43" i="115" s="1"/>
  <c r="W43" i="115"/>
  <c r="Z43" i="115" s="1"/>
  <c r="S43" i="115"/>
  <c r="T43" i="115" s="1"/>
  <c r="D43" i="115"/>
  <c r="AI41" i="115"/>
  <c r="AK41" i="115" s="1"/>
  <c r="AQ41" i="115"/>
  <c r="AS41" i="115" s="1"/>
  <c r="AV41" i="115" s="1"/>
  <c r="I44" i="115"/>
  <c r="C44" i="115"/>
  <c r="C40" i="114" s="1"/>
  <c r="K40" i="114" s="1"/>
  <c r="I37" i="114"/>
  <c r="J37" i="114"/>
  <c r="E37" i="114"/>
  <c r="O35" i="114"/>
  <c r="N36" i="114"/>
  <c r="D38" i="114" l="1"/>
  <c r="M42" i="115"/>
  <c r="N42" i="115" s="1"/>
  <c r="AU42" i="115" s="1"/>
  <c r="L43" i="123"/>
  <c r="AP39" i="126"/>
  <c r="N35" i="121" s="1"/>
  <c r="O35" i="121" s="1"/>
  <c r="L35" i="121"/>
  <c r="T41" i="126"/>
  <c r="Q44" i="122"/>
  <c r="R44" i="122" s="1"/>
  <c r="AF40" i="126"/>
  <c r="AE40" i="126"/>
  <c r="C39" i="121"/>
  <c r="E43" i="126"/>
  <c r="AA41" i="126"/>
  <c r="AN41" i="126"/>
  <c r="AM41" i="126"/>
  <c r="Y41" i="126"/>
  <c r="G44" i="126"/>
  <c r="L42" i="126"/>
  <c r="M42" i="126" s="1"/>
  <c r="J42" i="126"/>
  <c r="I38" i="121" s="1"/>
  <c r="P42" i="126"/>
  <c r="AN40" i="115"/>
  <c r="AO40" i="115" s="1"/>
  <c r="AP40" i="115" s="1"/>
  <c r="AW40" i="115" s="1"/>
  <c r="Y43" i="115"/>
  <c r="X43" i="115"/>
  <c r="J44" i="115"/>
  <c r="K44" i="115" s="1"/>
  <c r="F40" i="114"/>
  <c r="AM41" i="115"/>
  <c r="AL41" i="115"/>
  <c r="AT42" i="115"/>
  <c r="AH42" i="115"/>
  <c r="AF42" i="115"/>
  <c r="AG42" i="115" s="1"/>
  <c r="H38" i="114"/>
  <c r="L37" i="114"/>
  <c r="K37" i="121" l="1"/>
  <c r="Z41" i="126"/>
  <c r="M43" i="123"/>
  <c r="N43" i="123" s="1"/>
  <c r="Q43" i="123"/>
  <c r="R43" i="123" s="1"/>
  <c r="E43" i="115" s="1"/>
  <c r="G44" i="122"/>
  <c r="G44" i="123"/>
  <c r="F44" i="115" s="1"/>
  <c r="E44" i="123"/>
  <c r="R42" i="126"/>
  <c r="Q42" i="126"/>
  <c r="M36" i="114"/>
  <c r="AG40" i="126"/>
  <c r="AH40" i="126" s="1"/>
  <c r="AI40" i="126" s="1"/>
  <c r="AA43" i="115"/>
  <c r="E39" i="121"/>
  <c r="G39" i="121"/>
  <c r="F39" i="121"/>
  <c r="D39" i="121"/>
  <c r="AB41" i="126"/>
  <c r="AJ41" i="126"/>
  <c r="AL41" i="126" s="1"/>
  <c r="AO41" i="126" s="1"/>
  <c r="M37" i="121" s="1"/>
  <c r="I43" i="126"/>
  <c r="H39" i="121" s="1"/>
  <c r="K42" i="126"/>
  <c r="J38" i="121" s="1"/>
  <c r="S44" i="126"/>
  <c r="C44" i="126"/>
  <c r="D44" i="126" s="1"/>
  <c r="H44" i="126"/>
  <c r="AN41" i="115"/>
  <c r="AO41" i="115" s="1"/>
  <c r="AP41" i="115" s="1"/>
  <c r="AW41" i="115" s="1"/>
  <c r="S44" i="115"/>
  <c r="T44" i="115" s="1"/>
  <c r="O44" i="115"/>
  <c r="P44" i="115" s="1"/>
  <c r="W44" i="115"/>
  <c r="Z44" i="115" s="1"/>
  <c r="D44" i="115"/>
  <c r="G40" i="114"/>
  <c r="L43" i="115"/>
  <c r="H39" i="114" s="1"/>
  <c r="D39" i="114"/>
  <c r="AQ42" i="115"/>
  <c r="AS42" i="115" s="1"/>
  <c r="AV42" i="115" s="1"/>
  <c r="AI42" i="115"/>
  <c r="AK42" i="115" s="1"/>
  <c r="I38" i="114"/>
  <c r="N37" i="114"/>
  <c r="E38" i="114"/>
  <c r="O36" i="114"/>
  <c r="P36" i="114" s="1"/>
  <c r="AD41" i="126" l="1"/>
  <c r="T42" i="126"/>
  <c r="AP40" i="126"/>
  <c r="N36" i="121" s="1"/>
  <c r="O36" i="121" s="1"/>
  <c r="L36" i="121"/>
  <c r="F44" i="123"/>
  <c r="L44" i="123" s="1"/>
  <c r="C40" i="121"/>
  <c r="E44" i="126"/>
  <c r="P43" i="126"/>
  <c r="J43" i="126"/>
  <c r="I39" i="121" s="1"/>
  <c r="L43" i="126"/>
  <c r="M43" i="126" s="1"/>
  <c r="AF41" i="126"/>
  <c r="AE41" i="126"/>
  <c r="AN42" i="126"/>
  <c r="AA42" i="126"/>
  <c r="AM42" i="126"/>
  <c r="Y42" i="126"/>
  <c r="Y44" i="115"/>
  <c r="X44" i="115"/>
  <c r="Q43" i="115"/>
  <c r="R43" i="115" s="1"/>
  <c r="G43" i="115" s="1"/>
  <c r="M43" i="115"/>
  <c r="N43" i="115" s="1"/>
  <c r="AM42" i="115"/>
  <c r="AL42" i="115"/>
  <c r="J38" i="114"/>
  <c r="M37" i="114"/>
  <c r="L38" i="114"/>
  <c r="K38" i="121" l="1"/>
  <c r="Z42" i="126"/>
  <c r="AA44" i="115"/>
  <c r="M44" i="123"/>
  <c r="N44" i="123" s="1"/>
  <c r="Q44" i="123"/>
  <c r="R44" i="123" s="1"/>
  <c r="E44" i="115" s="1"/>
  <c r="L44" i="115" s="1"/>
  <c r="Q44" i="115" s="1"/>
  <c r="R44" i="115" s="1"/>
  <c r="G44" i="115" s="1"/>
  <c r="R43" i="126"/>
  <c r="Q43" i="126"/>
  <c r="T43" i="126" s="1"/>
  <c r="F40" i="121"/>
  <c r="E40" i="121"/>
  <c r="D40" i="121"/>
  <c r="G40" i="121"/>
  <c r="AG41" i="126"/>
  <c r="AH41" i="126" s="1"/>
  <c r="AI41" i="126" s="1"/>
  <c r="AN42" i="115"/>
  <c r="AO42" i="115" s="1"/>
  <c r="AP42" i="115" s="1"/>
  <c r="AW42" i="115" s="1"/>
  <c r="AB42" i="126"/>
  <c r="AD42" i="126" s="1"/>
  <c r="AJ42" i="126"/>
  <c r="AL42" i="126" s="1"/>
  <c r="AO42" i="126" s="1"/>
  <c r="M38" i="121" s="1"/>
  <c r="I44" i="126"/>
  <c r="H40" i="121" s="1"/>
  <c r="K43" i="126"/>
  <c r="J39" i="121" s="1"/>
  <c r="AH43" i="115"/>
  <c r="AT43" i="115"/>
  <c r="AU43" i="115"/>
  <c r="AF43" i="115"/>
  <c r="AG43" i="115" s="1"/>
  <c r="E39" i="114"/>
  <c r="J39" i="114"/>
  <c r="I39" i="114"/>
  <c r="O37" i="114"/>
  <c r="P37" i="114" s="1"/>
  <c r="N38" i="114"/>
  <c r="M44" i="115" l="1"/>
  <c r="N44" i="115" s="1"/>
  <c r="AH44" i="115" s="1"/>
  <c r="D40" i="114"/>
  <c r="AP41" i="126"/>
  <c r="N37" i="121" s="1"/>
  <c r="O37" i="121" s="1"/>
  <c r="L37" i="121"/>
  <c r="AM43" i="126"/>
  <c r="AN43" i="126"/>
  <c r="AA43" i="126"/>
  <c r="Y43" i="126"/>
  <c r="P44" i="126"/>
  <c r="J44" i="126"/>
  <c r="I40" i="121" s="1"/>
  <c r="L44" i="126"/>
  <c r="M44" i="126" s="1"/>
  <c r="AF42" i="126"/>
  <c r="AE42" i="126"/>
  <c r="AQ43" i="115"/>
  <c r="AS43" i="115" s="1"/>
  <c r="AV43" i="115" s="1"/>
  <c r="AI43" i="115"/>
  <c r="AK43" i="115" s="1"/>
  <c r="H40" i="114"/>
  <c r="M38" i="114"/>
  <c r="K39" i="121" l="1"/>
  <c r="Z43" i="126"/>
  <c r="AI44" i="115"/>
  <c r="AQ44" i="115"/>
  <c r="AT44" i="115"/>
  <c r="AU44" i="115"/>
  <c r="AF44" i="115"/>
  <c r="Q44" i="126"/>
  <c r="R44" i="126"/>
  <c r="AG42" i="126"/>
  <c r="AH42" i="126" s="1"/>
  <c r="AI42" i="126" s="1"/>
  <c r="L38" i="121" s="1"/>
  <c r="AB43" i="126"/>
  <c r="AD43" i="126" s="1"/>
  <c r="AJ43" i="126"/>
  <c r="AL43" i="126" s="1"/>
  <c r="AO43" i="126" s="1"/>
  <c r="M39" i="121" s="1"/>
  <c r="K44" i="126"/>
  <c r="J40" i="121" s="1"/>
  <c r="AM43" i="115"/>
  <c r="AL43" i="115"/>
  <c r="I40" i="114"/>
  <c r="E40" i="114"/>
  <c r="J40" i="114"/>
  <c r="O38" i="114"/>
  <c r="P38" i="114" s="1"/>
  <c r="L39" i="114"/>
  <c r="AG44" i="115" l="1"/>
  <c r="AK44" i="115" s="1"/>
  <c r="AP42" i="126"/>
  <c r="N38" i="121" s="1"/>
  <c r="O38" i="121" s="1"/>
  <c r="AS44" i="115"/>
  <c r="AV44" i="115" s="1"/>
  <c r="T44" i="126"/>
  <c r="AN43" i="115"/>
  <c r="AO43" i="115" s="1"/>
  <c r="AP43" i="115" s="1"/>
  <c r="AW43" i="115" s="1"/>
  <c r="AA44" i="126"/>
  <c r="AN44" i="126"/>
  <c r="AM44" i="126"/>
  <c r="Y44" i="126"/>
  <c r="AE43" i="126"/>
  <c r="AF43" i="126"/>
  <c r="N39" i="114"/>
  <c r="L40" i="114"/>
  <c r="AL44" i="115" l="1"/>
  <c r="AM44" i="115"/>
  <c r="AN44" i="115" s="1"/>
  <c r="AO44" i="115" s="1"/>
  <c r="AP44" i="115" s="1"/>
  <c r="AW44" i="115" s="1"/>
  <c r="Z44" i="126"/>
  <c r="K40" i="121"/>
  <c r="AG43" i="126"/>
  <c r="AH43" i="126" s="1"/>
  <c r="AI43" i="126" s="1"/>
  <c r="AJ44" i="126"/>
  <c r="AB44" i="126"/>
  <c r="M39" i="114"/>
  <c r="N40" i="114"/>
  <c r="AL44" i="126" l="1"/>
  <c r="AO44" i="126" s="1"/>
  <c r="M40" i="121" s="1"/>
  <c r="AD44" i="126"/>
  <c r="AP43" i="126"/>
  <c r="N39" i="121" s="1"/>
  <c r="O39" i="121" s="1"/>
  <c r="L39" i="121"/>
  <c r="AE44" i="126"/>
  <c r="AF44" i="126"/>
  <c r="O39" i="114"/>
  <c r="P39" i="114" s="1"/>
  <c r="M40" i="114"/>
  <c r="AG44" i="126" l="1"/>
  <c r="AH44" i="126" s="1"/>
  <c r="AI44" i="126" s="1"/>
  <c r="L40" i="121" s="1"/>
  <c r="O40" i="114"/>
  <c r="P40" i="114" s="1"/>
  <c r="AP44" i="126" l="1"/>
  <c r="N40" i="121" s="1"/>
  <c r="O40" i="121" s="1"/>
  <c r="L24" i="114" l="1"/>
  <c r="L22" i="114"/>
  <c r="N23" i="114" l="1"/>
  <c r="L23" i="114"/>
  <c r="N24" i="114"/>
  <c r="N22" i="114"/>
  <c r="M23" i="114" l="1"/>
  <c r="M24" i="114"/>
  <c r="M22" i="114"/>
  <c r="O22" i="114" l="1"/>
  <c r="P22" i="114" s="1"/>
  <c r="O23" i="114"/>
  <c r="P23" i="114" s="1"/>
  <c r="O24" i="114"/>
  <c r="P24" i="114" l="1"/>
  <c r="P25" i="114"/>
  <c r="R19" i="121" l="1"/>
  <c r="G11" i="114" l="1"/>
  <c r="F11" i="114"/>
  <c r="Q15" i="115" l="1"/>
  <c r="R15" i="115" s="1"/>
  <c r="G15" i="115" s="1"/>
  <c r="H11" i="114"/>
  <c r="I11" i="114" s="1"/>
  <c r="K11" i="114" l="1"/>
  <c r="AF15" i="115"/>
  <c r="AT15" i="115"/>
  <c r="AU15" i="115"/>
  <c r="J11" i="114"/>
  <c r="AQ15" i="115" l="1"/>
  <c r="AI15" i="115"/>
  <c r="E11" i="114" l="1"/>
  <c r="S15" i="115"/>
  <c r="T15" i="115" s="1"/>
  <c r="Y15" i="115" s="1"/>
  <c r="X15" i="115" l="1"/>
  <c r="Z15" i="115"/>
  <c r="AA15" i="115" l="1"/>
  <c r="AG15" i="115" s="1"/>
  <c r="AK15" i="115" l="1"/>
  <c r="AL15" i="115" s="1"/>
  <c r="AS15" i="115"/>
  <c r="AV15" i="115" s="1"/>
  <c r="N11" i="114" s="1"/>
  <c r="AM15" i="115" l="1"/>
  <c r="AN15" i="115" s="1"/>
  <c r="AO15" i="115" s="1"/>
  <c r="AP15" i="115" s="1"/>
  <c r="M11" i="114" s="1"/>
  <c r="L11" i="114"/>
  <c r="AW15" i="115" l="1"/>
  <c r="O11" i="114" s="1"/>
  <c r="P12" i="114" s="1"/>
</calcChain>
</file>

<file path=xl/sharedStrings.xml><?xml version="1.0" encoding="utf-8"?>
<sst xmlns="http://schemas.openxmlformats.org/spreadsheetml/2006/main" count="891" uniqueCount="390">
  <si>
    <t>標準報酬月額</t>
    <rPh sb="0" eb="2">
      <t>ヒョウジュン</t>
    </rPh>
    <rPh sb="2" eb="4">
      <t>ホウシュウ</t>
    </rPh>
    <rPh sb="4" eb="6">
      <t>ゲツガク</t>
    </rPh>
    <phoneticPr fontId="3"/>
  </si>
  <si>
    <t>標準報酬</t>
  </si>
  <si>
    <t xml:space="preserve"> 等級</t>
  </si>
  <si>
    <t>月額</t>
  </si>
  <si>
    <t>報酬月額</t>
  </si>
  <si>
    <t>健康保険</t>
  </si>
  <si>
    <t>うち</t>
  </si>
  <si>
    <t>厚生年金</t>
  </si>
  <si>
    <t>健</t>
  </si>
  <si>
    <t>厚</t>
  </si>
  <si>
    <t>介護なし</t>
  </si>
  <si>
    <t>介護あり</t>
  </si>
  <si>
    <t>介護保険</t>
  </si>
  <si>
    <t>一般</t>
  </si>
  <si>
    <t>以上</t>
  </si>
  <si>
    <t>未満</t>
  </si>
  <si>
    <t>参照セル</t>
    <rPh sb="0" eb="2">
      <t>サンショウ</t>
    </rPh>
    <phoneticPr fontId="3"/>
  </si>
  <si>
    <t>標準
報酬額月額</t>
    <rPh sb="0" eb="2">
      <t>ヒョウジュン</t>
    </rPh>
    <rPh sb="3" eb="6">
      <t>ホウシュウガク</t>
    </rPh>
    <rPh sb="6" eb="8">
      <t>ゲツガク</t>
    </rPh>
    <phoneticPr fontId="3"/>
  </si>
  <si>
    <t>Ｎｏ．</t>
    <phoneticPr fontId="3"/>
  </si>
  <si>
    <t>年齢</t>
    <rPh sb="0" eb="2">
      <t>ネンレイ</t>
    </rPh>
    <phoneticPr fontId="3"/>
  </si>
  <si>
    <t>税率</t>
    <rPh sb="0" eb="2">
      <t>ゼイリツ</t>
    </rPh>
    <phoneticPr fontId="3"/>
  </si>
  <si>
    <t>保険料率</t>
    <rPh sb="0" eb="3">
      <t>ホケンリョウ</t>
    </rPh>
    <rPh sb="3" eb="4">
      <t>リツ</t>
    </rPh>
    <phoneticPr fontId="3"/>
  </si>
  <si>
    <t>（注）上記端数計算は、四捨五入処理をしています。</t>
    <rPh sb="1" eb="2">
      <t>チュウ</t>
    </rPh>
    <rPh sb="3" eb="5">
      <t>ジョウキ</t>
    </rPh>
    <rPh sb="5" eb="7">
      <t>ハスウ</t>
    </rPh>
    <rPh sb="7" eb="9">
      <t>ケイサン</t>
    </rPh>
    <rPh sb="11" eb="15">
      <t>シシャゴニュウ</t>
    </rPh>
    <rPh sb="15" eb="17">
      <t>ショリ</t>
    </rPh>
    <phoneticPr fontId="3"/>
  </si>
  <si>
    <t>標準報酬月額・保険料表</t>
    <phoneticPr fontId="3"/>
  </si>
  <si>
    <t>保険料（被保険者負担分）２分の１処理</t>
    <rPh sb="13" eb="14">
      <t>ブン</t>
    </rPh>
    <rPh sb="16" eb="18">
      <t>ショリ</t>
    </rPh>
    <phoneticPr fontId="3"/>
  </si>
  <si>
    <t>＜メイン参照データ＞</t>
    <rPh sb="4" eb="6">
      <t>サンショウ</t>
    </rPh>
    <phoneticPr fontId="3"/>
  </si>
  <si>
    <t>給与月額</t>
    <rPh sb="0" eb="2">
      <t>キュウヨ</t>
    </rPh>
    <rPh sb="2" eb="4">
      <t>ゲツガク</t>
    </rPh>
    <phoneticPr fontId="3"/>
  </si>
  <si>
    <t>青字＝入力セル</t>
    <rPh sb="0" eb="1">
      <t>アオ</t>
    </rPh>
    <rPh sb="1" eb="2">
      <t>ジ</t>
    </rPh>
    <rPh sb="3" eb="5">
      <t>ニュウリョク</t>
    </rPh>
    <phoneticPr fontId="3"/>
  </si>
  <si>
    <t>黒字＝自動計算セル</t>
    <rPh sb="0" eb="2">
      <t>クロジ</t>
    </rPh>
    <rPh sb="3" eb="5">
      <t>ジドウ</t>
    </rPh>
    <rPh sb="5" eb="7">
      <t>ケイサン</t>
    </rPh>
    <phoneticPr fontId="3"/>
  </si>
  <si>
    <t>入力画面</t>
    <rPh sb="0" eb="2">
      <t>ニュウリョク</t>
    </rPh>
    <rPh sb="2" eb="4">
      <t>ガメン</t>
    </rPh>
    <phoneticPr fontId="3"/>
  </si>
  <si>
    <t>＜参照表＞</t>
    <rPh sb="1" eb="3">
      <t>サンショウ</t>
    </rPh>
    <rPh sb="3" eb="4">
      <t>ヒョウ</t>
    </rPh>
    <phoneticPr fontId="3"/>
  </si>
  <si>
    <t>雇用保険料率</t>
    <rPh sb="0" eb="2">
      <t>コヨウ</t>
    </rPh>
    <rPh sb="2" eb="5">
      <t>ホケンリョウ</t>
    </rPh>
    <rPh sb="5" eb="6">
      <t>リツ</t>
    </rPh>
    <phoneticPr fontId="3"/>
  </si>
  <si>
    <t>様</t>
    <rPh sb="0" eb="1">
      <t>サマ</t>
    </rPh>
    <phoneticPr fontId="3"/>
  </si>
  <si>
    <t>介護保険料</t>
    <rPh sb="0" eb="2">
      <t>カイゴ</t>
    </rPh>
    <rPh sb="2" eb="5">
      <t>ホケンリョウ</t>
    </rPh>
    <phoneticPr fontId="3"/>
  </si>
  <si>
    <t>厚生年金</t>
    <rPh sb="0" eb="2">
      <t>コウセイ</t>
    </rPh>
    <rPh sb="2" eb="4">
      <t>ネンキン</t>
    </rPh>
    <phoneticPr fontId="3"/>
  </si>
  <si>
    <t>このソフトウェアは次のことを確認の上、自己責任でお使い下さい！</t>
    <rPh sb="9" eb="10">
      <t>ツギ</t>
    </rPh>
    <rPh sb="14" eb="16">
      <t>カクニン</t>
    </rPh>
    <rPh sb="17" eb="18">
      <t>ウエ</t>
    </rPh>
    <rPh sb="19" eb="21">
      <t>ジコ</t>
    </rPh>
    <rPh sb="21" eb="23">
      <t>セキニン</t>
    </rPh>
    <rPh sb="25" eb="26">
      <t>ツカ</t>
    </rPh>
    <rPh sb="27" eb="28">
      <t>クダ</t>
    </rPh>
    <phoneticPr fontId="3"/>
  </si>
  <si>
    <t>１．免責について</t>
    <rPh sb="2" eb="4">
      <t>メンセキ</t>
    </rPh>
    <phoneticPr fontId="3"/>
  </si>
  <si>
    <t>　あなたがこのソフトウェアをご利用になることで生じたいかなる損害に対しても、</t>
    <rPh sb="23" eb="24">
      <t>ショウ</t>
    </rPh>
    <rPh sb="30" eb="32">
      <t>ソンガイ</t>
    </rPh>
    <rPh sb="33" eb="34">
      <t>タイ</t>
    </rPh>
    <phoneticPr fontId="3"/>
  </si>
  <si>
    <t>当方は一切の補償はいたしません。</t>
    <rPh sb="0" eb="2">
      <t>トウホウ</t>
    </rPh>
    <rPh sb="3" eb="5">
      <t>イッサイ</t>
    </rPh>
    <rPh sb="6" eb="8">
      <t>ホショウ</t>
    </rPh>
    <phoneticPr fontId="3"/>
  </si>
  <si>
    <t>　このことを了解の上、利用者の責任でご使用下さい。</t>
    <rPh sb="6" eb="8">
      <t>リョウカイ</t>
    </rPh>
    <rPh sb="9" eb="10">
      <t>ウエ</t>
    </rPh>
    <rPh sb="11" eb="14">
      <t>リヨウシャ</t>
    </rPh>
    <rPh sb="15" eb="17">
      <t>セキニン</t>
    </rPh>
    <rPh sb="19" eb="21">
      <t>シヨウ</t>
    </rPh>
    <rPh sb="21" eb="22">
      <t>クダ</t>
    </rPh>
    <phoneticPr fontId="3"/>
  </si>
  <si>
    <t>３．第三者への配布禁止</t>
    <rPh sb="2" eb="5">
      <t>ダイサンシャ</t>
    </rPh>
    <rPh sb="7" eb="9">
      <t>ハイフ</t>
    </rPh>
    <rPh sb="9" eb="11">
      <t>キンシ</t>
    </rPh>
    <phoneticPr fontId="3"/>
  </si>
  <si>
    <t>　このソフトウェアを複製して第三者に配布することは禁止いたします。</t>
    <rPh sb="10" eb="12">
      <t>フクセイ</t>
    </rPh>
    <rPh sb="14" eb="17">
      <t>ダイサンシャ</t>
    </rPh>
    <rPh sb="18" eb="20">
      <t>ハイフ</t>
    </rPh>
    <rPh sb="25" eb="27">
      <t>キンシ</t>
    </rPh>
    <phoneticPr fontId="3"/>
  </si>
  <si>
    <t>横井人事労務サポート事務所</t>
    <rPh sb="0" eb="2">
      <t>ヨコイ</t>
    </rPh>
    <rPh sb="2" eb="4">
      <t>ジンジ</t>
    </rPh>
    <rPh sb="4" eb="6">
      <t>ロウム</t>
    </rPh>
    <rPh sb="10" eb="13">
      <t>ジムショ</t>
    </rPh>
    <phoneticPr fontId="3"/>
  </si>
  <si>
    <t>　　横　井　明　徳</t>
    <rPh sb="2" eb="3">
      <t>ヨコ</t>
    </rPh>
    <rPh sb="4" eb="5">
      <t>セイ</t>
    </rPh>
    <rPh sb="6" eb="7">
      <t>メイ</t>
    </rPh>
    <rPh sb="8" eb="9">
      <t>トク</t>
    </rPh>
    <phoneticPr fontId="3"/>
  </si>
  <si>
    <t>以上</t>
    <rPh sb="0" eb="2">
      <t>イジョウ</t>
    </rPh>
    <phoneticPr fontId="3"/>
  </si>
  <si>
    <t>＋</t>
    <phoneticPr fontId="3"/>
  </si>
  <si>
    <t>所得税</t>
    <rPh sb="0" eb="3">
      <t>ショトクゼイ</t>
    </rPh>
    <phoneticPr fontId="3"/>
  </si>
  <si>
    <t>時間給</t>
    <rPh sb="0" eb="3">
      <t>ジカンキュウ</t>
    </rPh>
    <phoneticPr fontId="3"/>
  </si>
  <si>
    <t>週所定労働時間</t>
    <rPh sb="0" eb="1">
      <t>シュウ</t>
    </rPh>
    <rPh sb="1" eb="7">
      <t>ショテイロウドウジカン</t>
    </rPh>
    <phoneticPr fontId="3"/>
  </si>
  <si>
    <t>以上</t>
    <phoneticPr fontId="3"/>
  </si>
  <si>
    <t>（注）健康保険料率は、平成21年9月から都道府県単位に設定されています（上記は大阪府の例）。</t>
    <rPh sb="1" eb="2">
      <t>チュウ</t>
    </rPh>
    <rPh sb="3" eb="5">
      <t>ケンコウ</t>
    </rPh>
    <rPh sb="5" eb="7">
      <t>ホケン</t>
    </rPh>
    <rPh sb="7" eb="8">
      <t>リョウ</t>
    </rPh>
    <rPh sb="8" eb="9">
      <t>リツ</t>
    </rPh>
    <rPh sb="11" eb="13">
      <t>ヘイセイ</t>
    </rPh>
    <rPh sb="15" eb="16">
      <t>ネン</t>
    </rPh>
    <rPh sb="17" eb="18">
      <t>ガツ</t>
    </rPh>
    <rPh sb="20" eb="24">
      <t>トドウフケン</t>
    </rPh>
    <rPh sb="24" eb="26">
      <t>タンイ</t>
    </rPh>
    <rPh sb="27" eb="29">
      <t>セッテイ</t>
    </rPh>
    <rPh sb="36" eb="38">
      <t>ジョウキ</t>
    </rPh>
    <rPh sb="39" eb="41">
      <t>オオサカ</t>
    </rPh>
    <rPh sb="41" eb="42">
      <t>フ</t>
    </rPh>
    <rPh sb="43" eb="44">
      <t>レイ</t>
    </rPh>
    <phoneticPr fontId="3"/>
  </si>
  <si>
    <t>（令和５年３月１日現在）</t>
    <rPh sb="1" eb="3">
      <t>レイワ</t>
    </rPh>
    <phoneticPr fontId="3"/>
  </si>
  <si>
    <t>給与等の収入金額</t>
    <rPh sb="0" eb="3">
      <t>キュウヨトウ</t>
    </rPh>
    <rPh sb="4" eb="8">
      <t>シュウニュウキンガク</t>
    </rPh>
    <phoneticPr fontId="3"/>
  </si>
  <si>
    <t>給与所得控除額</t>
    <rPh sb="0" eb="4">
      <t>キュウヨショトク</t>
    </rPh>
    <rPh sb="4" eb="6">
      <t>コウジョ</t>
    </rPh>
    <rPh sb="6" eb="7">
      <t>ガク</t>
    </rPh>
    <phoneticPr fontId="3"/>
  </si>
  <si>
    <t>迄</t>
    <rPh sb="0" eb="1">
      <t>マデ</t>
    </rPh>
    <phoneticPr fontId="3"/>
  </si>
  <si>
    <t>上限</t>
    <rPh sb="0" eb="2">
      <t>ジョウゲン</t>
    </rPh>
    <phoneticPr fontId="3"/>
  </si>
  <si>
    <t>基礎控除額</t>
    <rPh sb="0" eb="5">
      <t>キソコウジョガク</t>
    </rPh>
    <phoneticPr fontId="3"/>
  </si>
  <si>
    <t>×</t>
    <phoneticPr fontId="3"/>
  </si>
  <si>
    <t>※2400万円以下</t>
    <rPh sb="5" eb="6">
      <t>マン</t>
    </rPh>
    <rPh sb="6" eb="7">
      <t>エン</t>
    </rPh>
    <rPh sb="7" eb="9">
      <t>イカ</t>
    </rPh>
    <phoneticPr fontId="3"/>
  </si>
  <si>
    <r>
      <t>　　　※</t>
    </r>
    <r>
      <rPr>
        <b/>
        <u/>
        <sz val="11"/>
        <color theme="1"/>
        <rFont val="ＭＳ Ｐゴシック"/>
        <family val="3"/>
        <charset val="128"/>
      </rPr>
      <t>８５０万×0.1＋１１０万＝１９５万円</t>
    </r>
    <rPh sb="6" eb="7">
      <t>マン</t>
    </rPh>
    <rPh sb="13" eb="14">
      <t>マン</t>
    </rPh>
    <rPh sb="18" eb="19">
      <t>マン</t>
    </rPh>
    <rPh sb="19" eb="20">
      <t>エン</t>
    </rPh>
    <phoneticPr fontId="3"/>
  </si>
  <si>
    <t>　給与所得</t>
    <rPh sb="1" eb="5">
      <t>キュウヨショトク</t>
    </rPh>
    <phoneticPr fontId="3"/>
  </si>
  <si>
    <t>－</t>
    <phoneticPr fontId="3"/>
  </si>
  <si>
    <t>所得税計算の基礎となる所得</t>
    <rPh sb="0" eb="3">
      <t>ショトクゼイ</t>
    </rPh>
    <rPh sb="3" eb="5">
      <t>ケイサン</t>
    </rPh>
    <rPh sb="6" eb="8">
      <t>キソ</t>
    </rPh>
    <rPh sb="11" eb="13">
      <t>ショトク</t>
    </rPh>
    <phoneticPr fontId="3"/>
  </si>
  <si>
    <t>都府県民税</t>
    <rPh sb="0" eb="1">
      <t>ト</t>
    </rPh>
    <rPh sb="1" eb="2">
      <t>フ</t>
    </rPh>
    <rPh sb="2" eb="4">
      <t>ケンミン</t>
    </rPh>
    <rPh sb="4" eb="5">
      <t>ゼイ</t>
    </rPh>
    <phoneticPr fontId="3"/>
  </si>
  <si>
    <t>均等割</t>
    <rPh sb="0" eb="2">
      <t>キントウ</t>
    </rPh>
    <rPh sb="2" eb="3">
      <t>ワ</t>
    </rPh>
    <phoneticPr fontId="3"/>
  </si>
  <si>
    <t>所得割</t>
    <rPh sb="0" eb="3">
      <t>ショトクワリ</t>
    </rPh>
    <phoneticPr fontId="3"/>
  </si>
  <si>
    <t>区・市民税</t>
    <rPh sb="0" eb="1">
      <t>ク</t>
    </rPh>
    <rPh sb="2" eb="5">
      <t>シミンゼイ</t>
    </rPh>
    <phoneticPr fontId="3"/>
  </si>
  <si>
    <t>都道府県</t>
    <rPh sb="0" eb="4">
      <t>トドウフケン</t>
    </rPh>
    <phoneticPr fontId="3"/>
  </si>
  <si>
    <t>区・市町村</t>
    <rPh sb="0" eb="1">
      <t>ク</t>
    </rPh>
    <rPh sb="2" eb="5">
      <t>シチョウソン</t>
    </rPh>
    <phoneticPr fontId="3"/>
  </si>
  <si>
    <t>所属</t>
    <rPh sb="0" eb="2">
      <t>ショゾク</t>
    </rPh>
    <phoneticPr fontId="3"/>
  </si>
  <si>
    <t>作成日</t>
  </si>
  <si>
    <t>算定基準日▼</t>
    <phoneticPr fontId="3"/>
  </si>
  <si>
    <t>No.</t>
    <phoneticPr fontId="3"/>
  </si>
  <si>
    <t>男=1</t>
  </si>
  <si>
    <t>勤続</t>
    <rPh sb="0" eb="2">
      <t>キンゾク</t>
    </rPh>
    <phoneticPr fontId="3"/>
  </si>
  <si>
    <t>女=2</t>
  </si>
  <si>
    <t>年</t>
    <rPh sb="0" eb="1">
      <t>ネン</t>
    </rPh>
    <phoneticPr fontId="3"/>
  </si>
  <si>
    <t>月</t>
    <rPh sb="0" eb="1">
      <t>ツキ</t>
    </rPh>
    <phoneticPr fontId="3"/>
  </si>
  <si>
    <t>入社年月日</t>
    <rPh sb="0" eb="2">
      <t>ニュウシャ</t>
    </rPh>
    <rPh sb="2" eb="5">
      <t>ネンガッピ</t>
    </rPh>
    <phoneticPr fontId="3"/>
  </si>
  <si>
    <t>従業員番号</t>
    <rPh sb="0" eb="3">
      <t>ジュウギョウイン</t>
    </rPh>
    <rPh sb="3" eb="5">
      <t>バンゴウ</t>
    </rPh>
    <phoneticPr fontId="3"/>
  </si>
  <si>
    <t>標準報酬月額</t>
    <rPh sb="0" eb="2">
      <t>ヒョウジュン</t>
    </rPh>
    <rPh sb="2" eb="6">
      <t>ホウシュウゲツガク</t>
    </rPh>
    <phoneticPr fontId="3"/>
  </si>
  <si>
    <t>均等割</t>
    <rPh sb="0" eb="3">
      <t>キントウワ</t>
    </rPh>
    <phoneticPr fontId="3"/>
  </si>
  <si>
    <t>チェック</t>
    <phoneticPr fontId="3"/>
  </si>
  <si>
    <t>（令和５年４月１日現在）</t>
    <rPh sb="1" eb="3">
      <t>レイワ</t>
    </rPh>
    <phoneticPr fontId="3"/>
  </si>
  <si>
    <t>雇用保険料</t>
    <rPh sb="0" eb="2">
      <t>コヨウ</t>
    </rPh>
    <rPh sb="2" eb="5">
      <t>ホケンリョウ</t>
    </rPh>
    <phoneticPr fontId="3"/>
  </si>
  <si>
    <t>給与所得控除額</t>
    <rPh sb="0" eb="2">
      <t>キュウヨ</t>
    </rPh>
    <rPh sb="2" eb="6">
      <t>ショトクコウジョ</t>
    </rPh>
    <rPh sb="6" eb="7">
      <t>ガク</t>
    </rPh>
    <phoneticPr fontId="3"/>
  </si>
  <si>
    <t>速算控除</t>
    <rPh sb="0" eb="2">
      <t>ソクサン</t>
    </rPh>
    <rPh sb="2" eb="4">
      <t>コウジョ</t>
    </rPh>
    <phoneticPr fontId="3"/>
  </si>
  <si>
    <t>所得税率</t>
    <rPh sb="0" eb="2">
      <t>ショトク</t>
    </rPh>
    <rPh sb="2" eb="4">
      <t>ゼイリツ</t>
    </rPh>
    <phoneticPr fontId="3"/>
  </si>
  <si>
    <t>速算控除額</t>
    <rPh sb="0" eb="2">
      <t>ソクサン</t>
    </rPh>
    <rPh sb="2" eb="5">
      <t>コウジョガク</t>
    </rPh>
    <phoneticPr fontId="3"/>
  </si>
  <si>
    <t>給与所得の金額</t>
    <rPh sb="0" eb="2">
      <t>キュウヨ</t>
    </rPh>
    <rPh sb="2" eb="4">
      <t>ショトク</t>
    </rPh>
    <rPh sb="5" eb="7">
      <t>キンガク</t>
    </rPh>
    <phoneticPr fontId="3"/>
  </si>
  <si>
    <t>復興特別所得税</t>
    <phoneticPr fontId="3"/>
  </si>
  <si>
    <t xml:space="preserve">所得税・復興特別税	</t>
    <rPh sb="0" eb="3">
      <t>ショトクゼイ</t>
    </rPh>
    <rPh sb="4" eb="6">
      <t>フッコウ</t>
    </rPh>
    <rPh sb="6" eb="8">
      <t>トクベツ</t>
    </rPh>
    <rPh sb="8" eb="9">
      <t>ゼイ</t>
    </rPh>
    <phoneticPr fontId="3"/>
  </si>
  <si>
    <t>年齢チェック</t>
    <rPh sb="0" eb="2">
      <t>ネンレイ</t>
    </rPh>
    <phoneticPr fontId="3"/>
  </si>
  <si>
    <t>厚生年金
保険料/月</t>
    <rPh sb="0" eb="2">
      <t>コウセイ</t>
    </rPh>
    <rPh sb="2" eb="4">
      <t>ネンキン</t>
    </rPh>
    <rPh sb="5" eb="8">
      <t>ホケンリョウ</t>
    </rPh>
    <rPh sb="9" eb="10">
      <t>ツキ</t>
    </rPh>
    <phoneticPr fontId="3"/>
  </si>
  <si>
    <t>健康保険料/月</t>
    <rPh sb="0" eb="2">
      <t>ケンコウ</t>
    </rPh>
    <rPh sb="2" eb="5">
      <t>ホケンリョウ</t>
    </rPh>
    <phoneticPr fontId="3"/>
  </si>
  <si>
    <t>健康保険料・介護保険料/月</t>
    <rPh sb="0" eb="2">
      <t>ケンコウ</t>
    </rPh>
    <rPh sb="2" eb="5">
      <t>ホケンリョウ</t>
    </rPh>
    <rPh sb="6" eb="11">
      <t>カイゴホケンリョウ</t>
    </rPh>
    <phoneticPr fontId="3"/>
  </si>
  <si>
    <t>住民税均等割</t>
    <rPh sb="0" eb="3">
      <t>ジュウミンゼイ</t>
    </rPh>
    <rPh sb="3" eb="6">
      <t>キントウワ</t>
    </rPh>
    <phoneticPr fontId="3"/>
  </si>
  <si>
    <t>住民税所得割</t>
    <rPh sb="0" eb="3">
      <t>ジュウミンゼイ</t>
    </rPh>
    <rPh sb="3" eb="6">
      <t>ショトクワリ</t>
    </rPh>
    <phoneticPr fontId="3"/>
  </si>
  <si>
    <t>住民税均等割</t>
    <rPh sb="0" eb="3">
      <t>ジュウミンゼイ</t>
    </rPh>
    <rPh sb="3" eb="6">
      <t>キントウワリ</t>
    </rPh>
    <phoneticPr fontId="3"/>
  </si>
  <si>
    <t>通勤手当</t>
    <rPh sb="0" eb="4">
      <t>ツウキンテアテ</t>
    </rPh>
    <phoneticPr fontId="3"/>
  </si>
  <si>
    <t>基本時間給</t>
    <rPh sb="0" eb="2">
      <t>キホン</t>
    </rPh>
    <rPh sb="2" eb="5">
      <t>ジカンキュウ</t>
    </rPh>
    <phoneticPr fontId="3"/>
  </si>
  <si>
    <t>年間見込み額</t>
    <rPh sb="0" eb="2">
      <t>ネンカン</t>
    </rPh>
    <rPh sb="2" eb="4">
      <t>ミコ</t>
    </rPh>
    <rPh sb="5" eb="6">
      <t>ガク</t>
    </rPh>
    <phoneticPr fontId="3"/>
  </si>
  <si>
    <t>月間見込み額</t>
    <rPh sb="0" eb="2">
      <t>ゲッカン</t>
    </rPh>
    <rPh sb="2" eb="4">
      <t>ミコ</t>
    </rPh>
    <rPh sb="5" eb="6">
      <t>ガク</t>
    </rPh>
    <phoneticPr fontId="3"/>
  </si>
  <si>
    <t>所定労働時間</t>
    <rPh sb="0" eb="2">
      <t>ショテイ</t>
    </rPh>
    <rPh sb="2" eb="4">
      <t>ロウドウ</t>
    </rPh>
    <rPh sb="4" eb="6">
      <t>ジカン</t>
    </rPh>
    <phoneticPr fontId="3"/>
  </si>
  <si>
    <t>役職手当</t>
    <rPh sb="0" eb="2">
      <t>ヤクショク</t>
    </rPh>
    <rPh sb="2" eb="4">
      <t>テアテ</t>
    </rPh>
    <phoneticPr fontId="3"/>
  </si>
  <si>
    <t>社会保険</t>
    <rPh sb="0" eb="4">
      <t>シャカイホケン</t>
    </rPh>
    <phoneticPr fontId="3"/>
  </si>
  <si>
    <t>ー</t>
    <phoneticPr fontId="3"/>
  </si>
  <si>
    <t>１ヵ月基本給与（月収）</t>
    <rPh sb="0" eb="3">
      <t>イッカゲツ</t>
    </rPh>
    <rPh sb="3" eb="5">
      <t>キホン</t>
    </rPh>
    <rPh sb="5" eb="7">
      <t>キュウヨ</t>
    </rPh>
    <rPh sb="8" eb="10">
      <t>ゲッシュウ</t>
    </rPh>
    <phoneticPr fontId="3"/>
  </si>
  <si>
    <t>雇用保険料</t>
    <rPh sb="0" eb="5">
      <t>コヨウホケンリョウ</t>
    </rPh>
    <phoneticPr fontId="3"/>
  </si>
  <si>
    <t>社会保険加入条件チェック</t>
    <rPh sb="0" eb="6">
      <t>シャカイホケンカニュウ</t>
    </rPh>
    <rPh sb="6" eb="8">
      <t>ジョウケン</t>
    </rPh>
    <phoneticPr fontId="3"/>
  </si>
  <si>
    <t>小計</t>
    <rPh sb="0" eb="2">
      <t>ショウケイ</t>
    </rPh>
    <phoneticPr fontId="3"/>
  </si>
  <si>
    <t>氏　　　　名</t>
    <rPh sb="0" eb="1">
      <t>シ</t>
    </rPh>
    <rPh sb="5" eb="6">
      <t>メイ</t>
    </rPh>
    <phoneticPr fontId="3"/>
  </si>
  <si>
    <r>
      <t>　　</t>
    </r>
    <r>
      <rPr>
        <b/>
        <u/>
        <sz val="12"/>
        <color rgb="FF0000CC"/>
        <rFont val="ＭＳ Ｐゴシック"/>
        <family val="3"/>
        <charset val="128"/>
      </rPr>
      <t>従業員番号を手入力します！</t>
    </r>
    <rPh sb="2" eb="5">
      <t>ジュウギョウイン</t>
    </rPh>
    <rPh sb="5" eb="7">
      <t>バンゴウ</t>
    </rPh>
    <rPh sb="8" eb="9">
      <t>テ</t>
    </rPh>
    <rPh sb="9" eb="10">
      <t>ジッテ</t>
    </rPh>
    <phoneticPr fontId="3"/>
  </si>
  <si>
    <t>雇用保険
時間チェック</t>
    <rPh sb="0" eb="2">
      <t>コヨウ</t>
    </rPh>
    <rPh sb="2" eb="4">
      <t>ホケン</t>
    </rPh>
    <rPh sb="5" eb="7">
      <t>ジカン</t>
    </rPh>
    <phoneticPr fontId="3"/>
  </si>
  <si>
    <t>※標準報酬算定には通勤手当を含む！</t>
    <rPh sb="1" eb="5">
      <t>ヒョウジュンホウシュウ</t>
    </rPh>
    <rPh sb="5" eb="7">
      <t>サンテイ</t>
    </rPh>
    <rPh sb="9" eb="13">
      <t>ツウキンテアテ</t>
    </rPh>
    <rPh sb="14" eb="15">
      <t>フク</t>
    </rPh>
    <phoneticPr fontId="3"/>
  </si>
  <si>
    <r>
      <t>社保料等
合計×12</t>
    </r>
    <r>
      <rPr>
        <b/>
        <sz val="11"/>
        <color theme="1"/>
        <rFont val="ＭＳ Ｐゴシック"/>
        <family val="3"/>
        <charset val="128"/>
      </rPr>
      <t>（年間）</t>
    </r>
    <rPh sb="0" eb="1">
      <t>シャ</t>
    </rPh>
    <rPh sb="1" eb="2">
      <t>タモツ</t>
    </rPh>
    <rPh sb="2" eb="3">
      <t>リョウ</t>
    </rPh>
    <rPh sb="3" eb="4">
      <t>ナド</t>
    </rPh>
    <rPh sb="5" eb="7">
      <t>ゴウケイ</t>
    </rPh>
    <rPh sb="11" eb="13">
      <t>ネンカン</t>
    </rPh>
    <phoneticPr fontId="3"/>
  </si>
  <si>
    <t>基礎控除額</t>
    <rPh sb="0" eb="2">
      <t>キソ</t>
    </rPh>
    <rPh sb="2" eb="4">
      <t>コウジョ</t>
    </rPh>
    <rPh sb="4" eb="5">
      <t>ガク</t>
    </rPh>
    <phoneticPr fontId="3"/>
  </si>
  <si>
    <t>住民税率</t>
    <rPh sb="3" eb="4">
      <t>リツ</t>
    </rPh>
    <phoneticPr fontId="3"/>
  </si>
  <si>
    <r>
      <t>　</t>
    </r>
    <r>
      <rPr>
        <u/>
        <sz val="18"/>
        <color rgb="FF0000CC"/>
        <rFont val="ＭＳ Ｐゴシック"/>
        <family val="3"/>
        <charset val="128"/>
      </rPr>
      <t>住民税計算</t>
    </r>
    <rPh sb="1" eb="4">
      <t>ジュウミンゼイ</t>
    </rPh>
    <rPh sb="4" eb="6">
      <t>ケイサン</t>
    </rPh>
    <phoneticPr fontId="3"/>
  </si>
  <si>
    <r>
      <t>　</t>
    </r>
    <r>
      <rPr>
        <u/>
        <sz val="18"/>
        <color rgb="FF0000CC"/>
        <rFont val="ＭＳ Ｐゴシック"/>
        <family val="3"/>
        <charset val="128"/>
      </rPr>
      <t>社会保険計算</t>
    </r>
    <rPh sb="1" eb="5">
      <t>シャカイホケン</t>
    </rPh>
    <rPh sb="5" eb="7">
      <t>ケイサン</t>
    </rPh>
    <phoneticPr fontId="3"/>
  </si>
  <si>
    <r>
      <t>　</t>
    </r>
    <r>
      <rPr>
        <u/>
        <sz val="18"/>
        <color rgb="FF0000CC"/>
        <rFont val="ＭＳ Ｐゴシック"/>
        <family val="3"/>
        <charset val="128"/>
      </rPr>
      <t>所得税計算</t>
    </r>
    <rPh sb="1" eb="4">
      <t>ショトクゼイ</t>
    </rPh>
    <rPh sb="4" eb="6">
      <t>ケイサン</t>
    </rPh>
    <phoneticPr fontId="3"/>
  </si>
  <si>
    <t>手取り年収</t>
    <rPh sb="0" eb="2">
      <t>テド</t>
    </rPh>
    <rPh sb="3" eb="5">
      <t>ネンシュウ</t>
    </rPh>
    <phoneticPr fontId="3"/>
  </si>
  <si>
    <t>又は、チェック（30H以上）</t>
    <rPh sb="0" eb="1">
      <t>マタ</t>
    </rPh>
    <rPh sb="11" eb="13">
      <t>イジョウ</t>
    </rPh>
    <phoneticPr fontId="3"/>
  </si>
  <si>
    <t>チェック（130万以上）</t>
    <rPh sb="8" eb="9">
      <t>マン</t>
    </rPh>
    <rPh sb="9" eb="11">
      <t>イジョウ</t>
    </rPh>
    <phoneticPr fontId="3"/>
  </si>
  <si>
    <t>年収チェック</t>
    <rPh sb="0" eb="2">
      <t>ネンシュウ</t>
    </rPh>
    <phoneticPr fontId="3"/>
  </si>
  <si>
    <t>週所定労働時間</t>
    <rPh sb="0" eb="1">
      <t>シュウ</t>
    </rPh>
    <rPh sb="1" eb="3">
      <t>ショテイ</t>
    </rPh>
    <rPh sb="3" eb="5">
      <t>ロウドウ</t>
    </rPh>
    <rPh sb="5" eb="7">
      <t>ジカン</t>
    </rPh>
    <phoneticPr fontId="3"/>
  </si>
  <si>
    <t>生駒市</t>
    <rPh sb="0" eb="3">
      <t>イコマシ</t>
    </rPh>
    <phoneticPr fontId="3"/>
  </si>
  <si>
    <t>雇用保険料率
（被保険者分）</t>
    <rPh sb="0" eb="2">
      <t>コヨウ</t>
    </rPh>
    <rPh sb="2" eb="5">
      <t>ホケンリョウ</t>
    </rPh>
    <rPh sb="5" eb="6">
      <t>リツ</t>
    </rPh>
    <rPh sb="8" eb="12">
      <t>ヒホケンシャ</t>
    </rPh>
    <rPh sb="12" eb="13">
      <t>ブン</t>
    </rPh>
    <phoneticPr fontId="3"/>
  </si>
  <si>
    <t>合計</t>
    <rPh sb="0" eb="2">
      <t>ゴウケイ</t>
    </rPh>
    <phoneticPr fontId="3"/>
  </si>
  <si>
    <r>
      <rPr>
        <b/>
        <u/>
        <sz val="14"/>
        <color rgb="FFFF0000"/>
        <rFont val="ＭＳ Ｐゴシック"/>
        <family val="3"/>
        <charset val="128"/>
      </rPr>
      <t>【要事前準備】</t>
    </r>
    <r>
      <rPr>
        <b/>
        <u/>
        <sz val="14"/>
        <color rgb="FF0000CC"/>
        <rFont val="ＭＳ Ｐゴシック"/>
        <family val="3"/>
        <charset val="128"/>
      </rPr>
      <t>シミュレーションを行う市区町村別の税額・税率を入力してください！</t>
    </r>
    <rPh sb="1" eb="2">
      <t>ヨウ</t>
    </rPh>
    <rPh sb="2" eb="4">
      <t>ジゼン</t>
    </rPh>
    <rPh sb="4" eb="6">
      <t>ジュンビ</t>
    </rPh>
    <rPh sb="16" eb="17">
      <t>オコナ</t>
    </rPh>
    <rPh sb="18" eb="20">
      <t>シク</t>
    </rPh>
    <rPh sb="22" eb="23">
      <t>ベツ</t>
    </rPh>
    <rPh sb="27" eb="29">
      <t>ゼイリツ</t>
    </rPh>
    <rPh sb="30" eb="32">
      <t>ニュウリョク</t>
    </rPh>
    <phoneticPr fontId="3"/>
  </si>
  <si>
    <t>市区町村名</t>
    <rPh sb="0" eb="5">
      <t>シクチョウソンメイ</t>
    </rPh>
    <phoneticPr fontId="3"/>
  </si>
  <si>
    <t>Ｒ．５</t>
    <phoneticPr fontId="3"/>
  </si>
  <si>
    <t>大阪市</t>
    <rPh sb="0" eb="3">
      <t>オオサカシ</t>
    </rPh>
    <phoneticPr fontId="3"/>
  </si>
  <si>
    <t>３．国民健康保険料</t>
    <rPh sb="2" eb="9">
      <t>コクミンケンコウホケンリョウ</t>
    </rPh>
    <phoneticPr fontId="3"/>
  </si>
  <si>
    <t>４．国民年金保険料</t>
    <rPh sb="2" eb="4">
      <t>コクミン</t>
    </rPh>
    <rPh sb="4" eb="6">
      <t>ネンキン</t>
    </rPh>
    <rPh sb="6" eb="9">
      <t>ホケンリョウ</t>
    </rPh>
    <phoneticPr fontId="3"/>
  </si>
  <si>
    <t>５．地方税の計算</t>
    <rPh sb="2" eb="5">
      <t>チホウゼイ</t>
    </rPh>
    <rPh sb="6" eb="8">
      <t>ケイサン</t>
    </rPh>
    <phoneticPr fontId="3"/>
  </si>
  <si>
    <t>健康保険
介護なし</t>
    <rPh sb="0" eb="2">
      <t>ケンコウ</t>
    </rPh>
    <rPh sb="2" eb="4">
      <t>ホケン</t>
    </rPh>
    <rPh sb="5" eb="7">
      <t>カイゴ</t>
    </rPh>
    <phoneticPr fontId="3"/>
  </si>
  <si>
    <t>健康保険
介護あり</t>
    <rPh sb="0" eb="2">
      <t>ケンコウ</t>
    </rPh>
    <rPh sb="2" eb="4">
      <t>ホケン</t>
    </rPh>
    <rPh sb="5" eb="7">
      <t>カイゴ</t>
    </rPh>
    <phoneticPr fontId="3"/>
  </si>
  <si>
    <t>奈良市</t>
    <rPh sb="0" eb="2">
      <t>ナラ</t>
    </rPh>
    <rPh sb="2" eb="3">
      <t>シ</t>
    </rPh>
    <phoneticPr fontId="3"/>
  </si>
  <si>
    <t>奈良市</t>
    <rPh sb="0" eb="3">
      <t>ナラシ</t>
    </rPh>
    <phoneticPr fontId="3"/>
  </si>
  <si>
    <t>大阪市</t>
    <rPh sb="0" eb="2">
      <t>オオサカ</t>
    </rPh>
    <rPh sb="2" eb="3">
      <t>シ</t>
    </rPh>
    <phoneticPr fontId="3"/>
  </si>
  <si>
    <t>データ最終更新日</t>
    <rPh sb="3" eb="5">
      <t>サイシュウ</t>
    </rPh>
    <rPh sb="5" eb="8">
      <t>コウシンビ</t>
    </rPh>
    <phoneticPr fontId="3"/>
  </si>
  <si>
    <t>非課税基準</t>
    <rPh sb="0" eb="3">
      <t>ヒカゼイ</t>
    </rPh>
    <rPh sb="3" eb="5">
      <t>キジュン</t>
    </rPh>
    <phoneticPr fontId="3"/>
  </si>
  <si>
    <t>※選択「２」で、年収１３０万（諸手当込み・通勤手当除く）以上は自動的に国民年金・国民健康保険料計算！</t>
    <rPh sb="1" eb="3">
      <t>センタク</t>
    </rPh>
    <rPh sb="8" eb="10">
      <t>ネンシュウ</t>
    </rPh>
    <rPh sb="13" eb="14">
      <t>マン</t>
    </rPh>
    <rPh sb="15" eb="18">
      <t>ショテアテ</t>
    </rPh>
    <rPh sb="18" eb="19">
      <t>コミ</t>
    </rPh>
    <rPh sb="21" eb="25">
      <t>ツウキンテアテ</t>
    </rPh>
    <rPh sb="25" eb="26">
      <t>ノゾ</t>
    </rPh>
    <rPh sb="28" eb="30">
      <t>イジョウ</t>
    </rPh>
    <rPh sb="31" eb="34">
      <t>ジドウテキ</t>
    </rPh>
    <rPh sb="35" eb="39">
      <t>コクミンネンキン</t>
    </rPh>
    <rPh sb="40" eb="46">
      <t>コクミンケンコウホケン</t>
    </rPh>
    <rPh sb="47" eb="49">
      <t>ケイサン</t>
    </rPh>
    <phoneticPr fontId="3"/>
  </si>
  <si>
    <t>住民税合計
（調整控除
算入）</t>
    <rPh sb="0" eb="3">
      <t>ジュウミンゼイ</t>
    </rPh>
    <rPh sb="3" eb="5">
      <t>ゴウケイ</t>
    </rPh>
    <rPh sb="7" eb="9">
      <t>チョウセイ</t>
    </rPh>
    <rPh sb="9" eb="11">
      <t>コウジョ</t>
    </rPh>
    <rPh sb="12" eb="14">
      <t>サンニュウ</t>
    </rPh>
    <phoneticPr fontId="3"/>
  </si>
  <si>
    <t>市区町村民</t>
    <rPh sb="0" eb="2">
      <t>シク</t>
    </rPh>
    <rPh sb="2" eb="4">
      <t>チョウソン</t>
    </rPh>
    <rPh sb="4" eb="5">
      <t>ミン</t>
    </rPh>
    <phoneticPr fontId="3"/>
  </si>
  <si>
    <t>都道府県民</t>
    <rPh sb="0" eb="2">
      <t>トドウ</t>
    </rPh>
    <rPh sb="2" eb="3">
      <t>フ</t>
    </rPh>
    <rPh sb="3" eb="5">
      <t>ケンミン</t>
    </rPh>
    <phoneticPr fontId="3"/>
  </si>
  <si>
    <t>※人的控除は基礎控除額のみ算入</t>
    <rPh sb="1" eb="3">
      <t>ジンテキ</t>
    </rPh>
    <rPh sb="3" eb="5">
      <t>コウジョ</t>
    </rPh>
    <rPh sb="6" eb="11">
      <t>キソコウジョガク</t>
    </rPh>
    <rPh sb="13" eb="15">
      <t>サンニュウ</t>
    </rPh>
    <phoneticPr fontId="3"/>
  </si>
  <si>
    <t>市区町村名</t>
    <rPh sb="0" eb="2">
      <t>シク</t>
    </rPh>
    <rPh sb="2" eb="4">
      <t>チョウソン</t>
    </rPh>
    <rPh sb="4" eb="5">
      <t>メイ</t>
    </rPh>
    <phoneticPr fontId="3"/>
  </si>
  <si>
    <t>従業員データ入力画面</t>
    <rPh sb="0" eb="3">
      <t>ジュウギョウイン</t>
    </rPh>
    <rPh sb="6" eb="8">
      <t>ニュウリョク</t>
    </rPh>
    <rPh sb="8" eb="10">
      <t>ガメン</t>
    </rPh>
    <phoneticPr fontId="3"/>
  </si>
  <si>
    <t>以下、行単位でコピーして行数を増やして使用して下さい！</t>
    <rPh sb="0" eb="2">
      <t>イカ</t>
    </rPh>
    <rPh sb="3" eb="6">
      <t>ギョウタンイ</t>
    </rPh>
    <rPh sb="12" eb="14">
      <t>ギョウスウ</t>
    </rPh>
    <rPh sb="15" eb="16">
      <t>フ</t>
    </rPh>
    <rPh sb="23" eb="24">
      <t>クダ</t>
    </rPh>
    <phoneticPr fontId="3"/>
  </si>
  <si>
    <t>設定は、行NO.1000迄コピーして増やせます。</t>
    <rPh sb="0" eb="2">
      <t>セッテイ</t>
    </rPh>
    <rPh sb="4" eb="5">
      <t>ギョウ</t>
    </rPh>
    <rPh sb="12" eb="13">
      <t>マデ</t>
    </rPh>
    <rPh sb="18" eb="19">
      <t>フ</t>
    </rPh>
    <phoneticPr fontId="3"/>
  </si>
  <si>
    <t>夏見込み</t>
    <rPh sb="0" eb="3">
      <t>ナツミコ</t>
    </rPh>
    <phoneticPr fontId="3"/>
  </si>
  <si>
    <t>冬見込み</t>
    <rPh sb="0" eb="3">
      <t>フユミコ</t>
    </rPh>
    <phoneticPr fontId="3"/>
  </si>
  <si>
    <t>※印 入力必須！</t>
    <rPh sb="1" eb="2">
      <t>シルシ</t>
    </rPh>
    <rPh sb="3" eb="5">
      <t>ニュウリョク</t>
    </rPh>
    <rPh sb="5" eb="7">
      <t>ヒッス</t>
    </rPh>
    <phoneticPr fontId="3"/>
  </si>
  <si>
    <r>
      <rPr>
        <b/>
        <sz val="12"/>
        <color rgb="FFFF0000"/>
        <rFont val="ＭＳ ゴシック"/>
        <family val="3"/>
        <charset val="128"/>
      </rPr>
      <t>(※）</t>
    </r>
    <r>
      <rPr>
        <b/>
        <sz val="12"/>
        <rFont val="ＭＳ ゴシック"/>
        <family val="3"/>
        <charset val="128"/>
      </rPr>
      <t xml:space="preserve">
従業員番号</t>
    </r>
    <rPh sb="4" eb="7">
      <t>ジュウギョウイン</t>
    </rPh>
    <rPh sb="7" eb="9">
      <t>バンゴウ</t>
    </rPh>
    <phoneticPr fontId="3"/>
  </si>
  <si>
    <r>
      <rPr>
        <b/>
        <sz val="11"/>
        <color rgb="FFFF0000"/>
        <rFont val="ＭＳ ゴシック"/>
        <family val="3"/>
        <charset val="128"/>
      </rPr>
      <t>(※）</t>
    </r>
    <r>
      <rPr>
        <b/>
        <sz val="11"/>
        <rFont val="ＭＳ ゴシック"/>
        <family val="3"/>
        <charset val="128"/>
      </rPr>
      <t xml:space="preserve">
氏　　名</t>
    </r>
    <rPh sb="4" eb="5">
      <t>シ</t>
    </rPh>
    <rPh sb="7" eb="8">
      <t>メイ</t>
    </rPh>
    <phoneticPr fontId="3"/>
  </si>
  <si>
    <r>
      <rPr>
        <b/>
        <sz val="11"/>
        <color rgb="FFFF0000"/>
        <rFont val="ＭＳ ゴシック"/>
        <family val="3"/>
        <charset val="128"/>
      </rPr>
      <t>(※）</t>
    </r>
    <r>
      <rPr>
        <b/>
        <sz val="11"/>
        <rFont val="ＭＳ ゴシック"/>
        <family val="3"/>
        <charset val="128"/>
      </rPr>
      <t xml:space="preserve">
該当市区町村</t>
    </r>
    <rPh sb="4" eb="6">
      <t>ガイトウ</t>
    </rPh>
    <rPh sb="6" eb="10">
      <t>シクチョウソン</t>
    </rPh>
    <phoneticPr fontId="3"/>
  </si>
  <si>
    <r>
      <rPr>
        <b/>
        <sz val="11"/>
        <color rgb="FFFF0000"/>
        <rFont val="ＭＳ ゴシック"/>
        <family val="3"/>
        <charset val="128"/>
      </rPr>
      <t>(※）</t>
    </r>
    <r>
      <rPr>
        <b/>
        <sz val="11"/>
        <rFont val="ＭＳ ゴシック"/>
        <family val="3"/>
        <charset val="128"/>
      </rPr>
      <t xml:space="preserve">
生年月日</t>
    </r>
    <rPh sb="4" eb="6">
      <t>セイネン</t>
    </rPh>
    <rPh sb="6" eb="8">
      <t>ガッピ</t>
    </rPh>
    <phoneticPr fontId="3"/>
  </si>
  <si>
    <r>
      <rPr>
        <b/>
        <sz val="11"/>
        <color rgb="FFFF0000"/>
        <rFont val="ＭＳ ゴシック"/>
        <family val="3"/>
        <charset val="128"/>
      </rPr>
      <t>(※）</t>
    </r>
    <r>
      <rPr>
        <b/>
        <sz val="11"/>
        <rFont val="ＭＳ ゴシック"/>
        <family val="3"/>
        <charset val="128"/>
      </rPr>
      <t>週所定労働日数</t>
    </r>
    <rPh sb="3" eb="4">
      <t>シュウ</t>
    </rPh>
    <rPh sb="4" eb="6">
      <t>ショテイ</t>
    </rPh>
    <rPh sb="6" eb="8">
      <t>ロウドウ</t>
    </rPh>
    <rPh sb="8" eb="10">
      <t>ニッスウ</t>
    </rPh>
    <phoneticPr fontId="3"/>
  </si>
  <si>
    <r>
      <rPr>
        <b/>
        <sz val="11"/>
        <color rgb="FFFF0000"/>
        <rFont val="ＭＳ ゴシック"/>
        <family val="3"/>
        <charset val="128"/>
      </rPr>
      <t>(※）</t>
    </r>
    <r>
      <rPr>
        <b/>
        <sz val="11"/>
        <rFont val="ＭＳ ゴシック"/>
        <family val="3"/>
        <charset val="128"/>
      </rPr>
      <t>所定
労働時間</t>
    </r>
    <rPh sb="3" eb="5">
      <t>ショテイ</t>
    </rPh>
    <rPh sb="6" eb="8">
      <t>ロウドウ</t>
    </rPh>
    <rPh sb="8" eb="10">
      <t>ジカン</t>
    </rPh>
    <phoneticPr fontId="3"/>
  </si>
  <si>
    <t>（注）住民税の算出は本年度の収入で計算しています！</t>
    <rPh sb="1" eb="2">
      <t>チュウ</t>
    </rPh>
    <rPh sb="3" eb="6">
      <t>ジュウミンゼイ</t>
    </rPh>
    <rPh sb="7" eb="9">
      <t>サンシュツ</t>
    </rPh>
    <rPh sb="10" eb="13">
      <t>ホンネンド</t>
    </rPh>
    <rPh sb="14" eb="16">
      <t>シュウニュウ</t>
    </rPh>
    <rPh sb="17" eb="19">
      <t>ケイサン</t>
    </rPh>
    <phoneticPr fontId="3"/>
  </si>
  <si>
    <t>計</t>
    <rPh sb="0" eb="1">
      <t>ケイ</t>
    </rPh>
    <phoneticPr fontId="3"/>
  </si>
  <si>
    <t>賞与（一時金）</t>
    <rPh sb="0" eb="2">
      <t>ショウヨ</t>
    </rPh>
    <rPh sb="3" eb="6">
      <t>イチジキン</t>
    </rPh>
    <phoneticPr fontId="3"/>
  </si>
  <si>
    <t>標準賞与額</t>
    <rPh sb="0" eb="2">
      <t>ヒョウジュン</t>
    </rPh>
    <rPh sb="2" eb="5">
      <t>ショウヨガク</t>
    </rPh>
    <phoneticPr fontId="3"/>
  </si>
  <si>
    <t>雇用
保険料/（年額）</t>
    <rPh sb="0" eb="2">
      <t>コヨウ</t>
    </rPh>
    <rPh sb="3" eb="6">
      <t>ホケンリョウ</t>
    </rPh>
    <rPh sb="8" eb="9">
      <t>ネン</t>
    </rPh>
    <rPh sb="9" eb="10">
      <t>ガク</t>
    </rPh>
    <phoneticPr fontId="3"/>
  </si>
  <si>
    <t>標準賞与額/12
（月額相当額）</t>
    <rPh sb="0" eb="2">
      <t>ヒョウジュン</t>
    </rPh>
    <rPh sb="2" eb="5">
      <t>ショウヨガク</t>
    </rPh>
    <rPh sb="10" eb="12">
      <t>ゲツガク</t>
    </rPh>
    <rPh sb="12" eb="14">
      <t>ソウトウ</t>
    </rPh>
    <rPh sb="14" eb="15">
      <t>ガク</t>
    </rPh>
    <phoneticPr fontId="3"/>
  </si>
  <si>
    <r>
      <rPr>
        <b/>
        <sz val="11"/>
        <color rgb="FFFF0000"/>
        <rFont val="ＭＳ ゴシック"/>
        <family val="3"/>
        <charset val="128"/>
      </rPr>
      <t>(※）</t>
    </r>
    <r>
      <rPr>
        <b/>
        <sz val="11"/>
        <rFont val="ＭＳ ゴシック"/>
        <family val="3"/>
        <charset val="128"/>
      </rPr>
      <t>賞与（一時金）見込み</t>
    </r>
    <rPh sb="3" eb="5">
      <t>ショウヨ</t>
    </rPh>
    <rPh sb="6" eb="9">
      <t>イチジキン</t>
    </rPh>
    <rPh sb="10" eb="12">
      <t>ミコ</t>
    </rPh>
    <phoneticPr fontId="3"/>
  </si>
  <si>
    <t>平成　　　年　　　月　　　日</t>
    <rPh sb="0" eb="2">
      <t>ヘイセイ</t>
    </rPh>
    <rPh sb="5" eb="6">
      <t>ネン</t>
    </rPh>
    <rPh sb="9" eb="10">
      <t>ガツ</t>
    </rPh>
    <rPh sb="13" eb="14">
      <t>ニチ</t>
    </rPh>
    <phoneticPr fontId="3"/>
  </si>
  <si>
    <t>株式会社　</t>
    <rPh sb="0" eb="2">
      <t>カブシキ</t>
    </rPh>
    <rPh sb="2" eb="4">
      <t>カイシャ</t>
    </rPh>
    <phoneticPr fontId="3"/>
  </si>
  <si>
    <t>代表取締役社長</t>
    <rPh sb="0" eb="2">
      <t>ダイヒョウ</t>
    </rPh>
    <rPh sb="2" eb="5">
      <t>トリシマリヤク</t>
    </rPh>
    <rPh sb="5" eb="7">
      <t>シャチョウ</t>
    </rPh>
    <phoneticPr fontId="3"/>
  </si>
  <si>
    <t>週所定労働日数</t>
    <rPh sb="0" eb="1">
      <t>シュウ</t>
    </rPh>
    <rPh sb="1" eb="3">
      <t>ショテイ</t>
    </rPh>
    <rPh sb="3" eb="5">
      <t>ロウドウ</t>
    </rPh>
    <rPh sb="5" eb="7">
      <t>ニッスウ</t>
    </rPh>
    <phoneticPr fontId="3"/>
  </si>
  <si>
    <t>年間所定
労働時間</t>
    <rPh sb="0" eb="2">
      <t>ネンカン</t>
    </rPh>
    <rPh sb="2" eb="4">
      <t>ショテイ</t>
    </rPh>
    <rPh sb="5" eb="7">
      <t>ロウドウ</t>
    </rPh>
    <rPh sb="7" eb="9">
      <t>ジカン</t>
    </rPh>
    <phoneticPr fontId="3"/>
  </si>
  <si>
    <t>操作説明</t>
    <rPh sb="0" eb="2">
      <t>ソウサ</t>
    </rPh>
    <rPh sb="2" eb="4">
      <t>セツメイ</t>
    </rPh>
    <phoneticPr fontId="83"/>
  </si>
  <si>
    <t>メニュー一覧</t>
    <rPh sb="4" eb="6">
      <t>イチラン</t>
    </rPh>
    <phoneticPr fontId="3"/>
  </si>
  <si>
    <t>　ご購入頂いた利用者の方も同様ですのでご注意下さい。</t>
    <rPh sb="2" eb="4">
      <t>コウニュウ</t>
    </rPh>
    <rPh sb="4" eb="5">
      <t>イタダ</t>
    </rPh>
    <rPh sb="7" eb="10">
      <t>リヨウシャ</t>
    </rPh>
    <rPh sb="11" eb="12">
      <t>カタ</t>
    </rPh>
    <rPh sb="13" eb="15">
      <t>ドウヨウ</t>
    </rPh>
    <rPh sb="20" eb="22">
      <t>チュウイ</t>
    </rPh>
    <rPh sb="22" eb="23">
      <t>クダ</t>
    </rPh>
    <phoneticPr fontId="3"/>
  </si>
  <si>
    <t>２．解析・改造の禁止</t>
    <rPh sb="2" eb="4">
      <t>カイセキ</t>
    </rPh>
    <rPh sb="5" eb="7">
      <t>カイゾウ</t>
    </rPh>
    <rPh sb="8" eb="10">
      <t>キンシ</t>
    </rPh>
    <phoneticPr fontId="3"/>
  </si>
  <si>
    <t>　このソフトウェアについての解析・改造を禁止いたします。</t>
    <rPh sb="14" eb="16">
      <t>カイセキ</t>
    </rPh>
    <rPh sb="17" eb="19">
      <t>カイゾウ</t>
    </rPh>
    <rPh sb="20" eb="22">
      <t>キンシ</t>
    </rPh>
    <phoneticPr fontId="3"/>
  </si>
  <si>
    <t>　ご購入頂いた利用者の方に対してもパスワードで保護させていただきます。</t>
    <rPh sb="2" eb="4">
      <t>コウニュウ</t>
    </rPh>
    <rPh sb="4" eb="5">
      <t>イタダ</t>
    </rPh>
    <rPh sb="7" eb="10">
      <t>リヨウシャ</t>
    </rPh>
    <rPh sb="11" eb="12">
      <t>カタ</t>
    </rPh>
    <rPh sb="13" eb="14">
      <t>タイ</t>
    </rPh>
    <rPh sb="23" eb="25">
      <t>ホゴ</t>
    </rPh>
    <phoneticPr fontId="3"/>
  </si>
  <si>
    <t>１．従業員データ入力画面</t>
    <rPh sb="2" eb="5">
      <t>ジュウギョウイン</t>
    </rPh>
    <rPh sb="8" eb="10">
      <t>ニュウリョク</t>
    </rPh>
    <rPh sb="10" eb="12">
      <t>ガメン</t>
    </rPh>
    <phoneticPr fontId="3"/>
  </si>
  <si>
    <t>■</t>
    <phoneticPr fontId="3"/>
  </si>
  <si>
    <t>２ー２．保険料・地方税等入力画面</t>
    <rPh sb="4" eb="7">
      <t>ホケンリョウ</t>
    </rPh>
    <rPh sb="8" eb="12">
      <t>チホウゼイトウ</t>
    </rPh>
    <rPh sb="12" eb="14">
      <t>ニュウリョク</t>
    </rPh>
    <rPh sb="14" eb="16">
      <t>ガメン</t>
    </rPh>
    <phoneticPr fontId="3"/>
  </si>
  <si>
    <t>市区町村名</t>
    <rPh sb="0" eb="4">
      <t>シクチョウソン</t>
    </rPh>
    <rPh sb="4" eb="5">
      <t>メイ</t>
    </rPh>
    <phoneticPr fontId="3"/>
  </si>
  <si>
    <t>注1：地方税の該当市区町村名は、「2-2.保険料・地方税等入力画面の市区町村名と一致していること。</t>
    <rPh sb="0" eb="1">
      <t>チュウ</t>
    </rPh>
    <rPh sb="3" eb="6">
      <t>チホウゼイ</t>
    </rPh>
    <rPh sb="7" eb="9">
      <t>ガイトウ</t>
    </rPh>
    <rPh sb="9" eb="14">
      <t>シクチョウソンメイ</t>
    </rPh>
    <rPh sb="21" eb="24">
      <t>ホケンリョウ</t>
    </rPh>
    <rPh sb="25" eb="28">
      <t>チホウゼイ</t>
    </rPh>
    <rPh sb="28" eb="29">
      <t>トウ</t>
    </rPh>
    <rPh sb="29" eb="33">
      <t>ニュウリョクガメン</t>
    </rPh>
    <rPh sb="34" eb="39">
      <t>シクチョウソンメイ</t>
    </rPh>
    <rPh sb="40" eb="42">
      <t>イッチ</t>
    </rPh>
    <phoneticPr fontId="3"/>
  </si>
  <si>
    <r>
      <t>　　また、</t>
    </r>
    <r>
      <rPr>
        <b/>
        <sz val="12"/>
        <color rgb="FF0000FF"/>
        <rFont val="ＭＳ Ｐゴシック"/>
        <family val="3"/>
        <charset val="128"/>
      </rPr>
      <t>賞与（一時金）</t>
    </r>
    <r>
      <rPr>
        <b/>
        <sz val="12"/>
        <color theme="1"/>
        <rFont val="ＭＳ Ｐゴシック"/>
        <family val="3"/>
        <charset val="128"/>
      </rPr>
      <t>も支給するようであれば入力してください。</t>
    </r>
    <rPh sb="5" eb="7">
      <t>ショウヨ</t>
    </rPh>
    <rPh sb="8" eb="11">
      <t>イチジキン</t>
    </rPh>
    <rPh sb="13" eb="15">
      <t>シキュウ</t>
    </rPh>
    <rPh sb="23" eb="25">
      <t>ニュウリョク</t>
    </rPh>
    <phoneticPr fontId="3"/>
  </si>
  <si>
    <t>　　　雇用保険料率に変更があれば修正入力します！</t>
    <rPh sb="3" eb="8">
      <t>コヨウホケンリョウ</t>
    </rPh>
    <rPh sb="8" eb="9">
      <t>リツ</t>
    </rPh>
    <rPh sb="10" eb="12">
      <t>ヘンコウ</t>
    </rPh>
    <rPh sb="16" eb="18">
      <t>シュウセイ</t>
    </rPh>
    <rPh sb="18" eb="20">
      <t>ニュウリョク</t>
    </rPh>
    <phoneticPr fontId="3"/>
  </si>
  <si>
    <t>１．雇用保険料率</t>
    <rPh sb="2" eb="4">
      <t>コヨウ</t>
    </rPh>
    <rPh sb="4" eb="7">
      <t>ホケンリョウ</t>
    </rPh>
    <rPh sb="7" eb="8">
      <t>リツ</t>
    </rPh>
    <phoneticPr fontId="3"/>
  </si>
  <si>
    <t>２．厚生年金・健保保険料率</t>
    <rPh sb="2" eb="6">
      <t>コウセイネンキン</t>
    </rPh>
    <rPh sb="7" eb="9">
      <t>ケンポ</t>
    </rPh>
    <rPh sb="9" eb="12">
      <t>ホケンリョウ</t>
    </rPh>
    <rPh sb="12" eb="13">
      <t>リツ</t>
    </rPh>
    <phoneticPr fontId="3"/>
  </si>
  <si>
    <t>　　　従業員が居住する市区町村別に、地方税の算定基準を、ネット等で調べて事前に入力してください。</t>
    <rPh sb="3" eb="6">
      <t>ジュウギョウイン</t>
    </rPh>
    <rPh sb="7" eb="9">
      <t>キョジュウ</t>
    </rPh>
    <rPh sb="11" eb="15">
      <t>シクチョウソン</t>
    </rPh>
    <rPh sb="15" eb="16">
      <t>ベツ</t>
    </rPh>
    <rPh sb="18" eb="21">
      <t>チホウゼイ</t>
    </rPh>
    <rPh sb="22" eb="24">
      <t>サンテイ</t>
    </rPh>
    <rPh sb="24" eb="26">
      <t>キジュン</t>
    </rPh>
    <rPh sb="31" eb="32">
      <t>トウ</t>
    </rPh>
    <rPh sb="33" eb="34">
      <t>シラ</t>
    </rPh>
    <rPh sb="36" eb="38">
      <t>ジゼン</t>
    </rPh>
    <rPh sb="39" eb="41">
      <t>ニュウリョク</t>
    </rPh>
    <phoneticPr fontId="3"/>
  </si>
  <si>
    <t>※ 地方税の算出に必須！</t>
    <rPh sb="2" eb="5">
      <t>チホウゼイ</t>
    </rPh>
    <rPh sb="6" eb="8">
      <t>サンシュツ</t>
    </rPh>
    <rPh sb="9" eb="11">
      <t>ヒッス</t>
    </rPh>
    <phoneticPr fontId="3"/>
  </si>
  <si>
    <t>★ 従業員への説明資料並びに検討資料として個別に作成します。</t>
    <rPh sb="2" eb="5">
      <t>ジュウギョウイン</t>
    </rPh>
    <rPh sb="7" eb="9">
      <t>セツメイ</t>
    </rPh>
    <rPh sb="9" eb="11">
      <t>シリョウ</t>
    </rPh>
    <rPh sb="11" eb="12">
      <t>ナラ</t>
    </rPh>
    <rPh sb="14" eb="16">
      <t>ケントウ</t>
    </rPh>
    <rPh sb="16" eb="18">
      <t>シリョウ</t>
    </rPh>
    <rPh sb="21" eb="23">
      <t>コベツ</t>
    </rPh>
    <rPh sb="24" eb="26">
      <t>サクセイ</t>
    </rPh>
    <phoneticPr fontId="3"/>
  </si>
  <si>
    <t>★ 従業員への所定労働時間等見直し提案資料として必要に応じて作成します。</t>
    <rPh sb="2" eb="5">
      <t>ジュウギョウイン</t>
    </rPh>
    <rPh sb="7" eb="13">
      <t>ショテイロウドウジカン</t>
    </rPh>
    <rPh sb="13" eb="14">
      <t>トウ</t>
    </rPh>
    <rPh sb="14" eb="16">
      <t>ミナオ</t>
    </rPh>
    <rPh sb="17" eb="19">
      <t>テイアン</t>
    </rPh>
    <rPh sb="19" eb="21">
      <t>シリョウ</t>
    </rPh>
    <rPh sb="24" eb="26">
      <t>ヒツヨウ</t>
    </rPh>
    <rPh sb="27" eb="28">
      <t>オウ</t>
    </rPh>
    <rPh sb="30" eb="32">
      <t>サクセイ</t>
    </rPh>
    <phoneticPr fontId="3"/>
  </si>
  <si>
    <t>法改正適用外</t>
    <rPh sb="0" eb="3">
      <t>ホウカイセイ</t>
    </rPh>
    <rPh sb="3" eb="6">
      <t>テキヨウガイ</t>
    </rPh>
    <phoneticPr fontId="3"/>
  </si>
  <si>
    <t>参照表</t>
    <rPh sb="0" eb="2">
      <t>サンショウ</t>
    </rPh>
    <rPh sb="2" eb="3">
      <t>ヒョウ</t>
    </rPh>
    <phoneticPr fontId="3"/>
  </si>
  <si>
    <t>２０２４年１０月１日から法改正適用</t>
    <rPh sb="4" eb="5">
      <t>ネン</t>
    </rPh>
    <rPh sb="7" eb="8">
      <t>ガツ</t>
    </rPh>
    <rPh sb="9" eb="10">
      <t>ニチ</t>
    </rPh>
    <rPh sb="12" eb="15">
      <t>ホウカイセイ</t>
    </rPh>
    <rPh sb="15" eb="17">
      <t>テキヨウ</t>
    </rPh>
    <phoneticPr fontId="3"/>
  </si>
  <si>
    <t>２０２４年９月３０日以前から法改正適用</t>
    <rPh sb="4" eb="5">
      <t>ネン</t>
    </rPh>
    <rPh sb="6" eb="7">
      <t>ガツ</t>
    </rPh>
    <rPh sb="9" eb="10">
      <t>ニチ</t>
    </rPh>
    <rPh sb="10" eb="12">
      <t>イゼン</t>
    </rPh>
    <rPh sb="14" eb="17">
      <t>ホウカイセイ</t>
    </rPh>
    <rPh sb="17" eb="19">
      <t>テキヨウ</t>
    </rPh>
    <phoneticPr fontId="3"/>
  </si>
  <si>
    <t>５１人以上１００人以下の会社</t>
    <rPh sb="2" eb="3">
      <t>ニン</t>
    </rPh>
    <rPh sb="3" eb="5">
      <t>イジョウ</t>
    </rPh>
    <rPh sb="8" eb="9">
      <t>ニン</t>
    </rPh>
    <rPh sb="9" eb="11">
      <t>イカ</t>
    </rPh>
    <rPh sb="12" eb="14">
      <t>カイシャ</t>
    </rPh>
    <phoneticPr fontId="3"/>
  </si>
  <si>
    <t>１０１人以上の会社</t>
    <rPh sb="3" eb="4">
      <t>ニン</t>
    </rPh>
    <rPh sb="4" eb="6">
      <t>イジョウ</t>
    </rPh>
    <rPh sb="7" eb="9">
      <t>カイシャ</t>
    </rPh>
    <phoneticPr fontId="3"/>
  </si>
  <si>
    <t>被保険者数</t>
    <rPh sb="0" eb="4">
      <t>ヒホケンシャ</t>
    </rPh>
    <rPh sb="4" eb="5">
      <t>カズ</t>
    </rPh>
    <phoneticPr fontId="3"/>
  </si>
  <si>
    <t>社保該当・非該当の選択</t>
    <rPh sb="0" eb="2">
      <t>シャホ</t>
    </rPh>
    <rPh sb="2" eb="4">
      <t>ガイトウ</t>
    </rPh>
    <rPh sb="5" eb="8">
      <t>ヒガイトウ</t>
    </rPh>
    <rPh sb="9" eb="11">
      <t>センタク</t>
    </rPh>
    <phoneticPr fontId="3"/>
  </si>
  <si>
    <t>※選択「１」は、自動的に会社の社会保険料計算！</t>
    <rPh sb="1" eb="3">
      <t>センタク</t>
    </rPh>
    <rPh sb="8" eb="11">
      <t>ジドウテキ</t>
    </rPh>
    <rPh sb="12" eb="14">
      <t>カイシャ</t>
    </rPh>
    <rPh sb="15" eb="19">
      <t>シャカイホケン</t>
    </rPh>
    <rPh sb="19" eb="20">
      <t>リョウ</t>
    </rPh>
    <rPh sb="20" eb="22">
      <t>ケイサン</t>
    </rPh>
    <phoneticPr fontId="3"/>
  </si>
  <si>
    <t>シート別シミュレーションの概要</t>
    <rPh sb="3" eb="4">
      <t>ベツ</t>
    </rPh>
    <rPh sb="13" eb="15">
      <t>ガイヨウ</t>
    </rPh>
    <phoneticPr fontId="3"/>
  </si>
  <si>
    <t>シート名</t>
    <rPh sb="3" eb="4">
      <t>メイ</t>
    </rPh>
    <phoneticPr fontId="3"/>
  </si>
  <si>
    <t>設定選択</t>
    <rPh sb="0" eb="2">
      <t>セッテイ</t>
    </rPh>
    <rPh sb="2" eb="4">
      <t>センタク</t>
    </rPh>
    <phoneticPr fontId="3"/>
  </si>
  <si>
    <t>（※）フルタイムの従業員数と、週所定労働時間及び月所定労働日数がフルタイムの4分の3以上の従業員数を合計した数。</t>
  </si>
  <si>
    <t>被保険者数（※）</t>
    <rPh sb="0" eb="4">
      <t>ヒホケンシャ</t>
    </rPh>
    <rPh sb="4" eb="5">
      <t>カズ</t>
    </rPh>
    <phoneticPr fontId="3"/>
  </si>
  <si>
    <t>社会保険適用拡大の適用・未適用区分とシート別の設定内容</t>
    <rPh sb="0" eb="4">
      <t>シャカイホケン</t>
    </rPh>
    <rPh sb="4" eb="6">
      <t>テキヨウ</t>
    </rPh>
    <rPh sb="6" eb="8">
      <t>カクダイ</t>
    </rPh>
    <rPh sb="9" eb="11">
      <t>テキヨウ</t>
    </rPh>
    <rPh sb="12" eb="15">
      <t>ミテキヨウ</t>
    </rPh>
    <rPh sb="15" eb="17">
      <t>クブン</t>
    </rPh>
    <rPh sb="21" eb="22">
      <t>ベツ</t>
    </rPh>
    <rPh sb="23" eb="25">
      <t>セッテイ</t>
    </rPh>
    <rPh sb="25" eb="27">
      <t>ナイヨウ</t>
    </rPh>
    <phoneticPr fontId="3"/>
  </si>
  <si>
    <t>選択「１」と「２」の原則</t>
    <rPh sb="0" eb="2">
      <t>センタク</t>
    </rPh>
    <rPh sb="10" eb="12">
      <t>ゲンソク</t>
    </rPh>
    <phoneticPr fontId="3"/>
  </si>
  <si>
    <t>区分</t>
    <rPh sb="0" eb="2">
      <t>クブン</t>
    </rPh>
    <phoneticPr fontId="3"/>
  </si>
  <si>
    <t>１．社会保険適用拡大の適用・未適用区分とシート別の設定内容</t>
    <rPh sb="2" eb="6">
      <t>シャカイホケン</t>
    </rPh>
    <rPh sb="6" eb="8">
      <t>テキヨウ</t>
    </rPh>
    <rPh sb="8" eb="10">
      <t>カクダイ</t>
    </rPh>
    <rPh sb="11" eb="13">
      <t>テキヨウ</t>
    </rPh>
    <rPh sb="14" eb="17">
      <t>ミテキヨウ</t>
    </rPh>
    <rPh sb="17" eb="19">
      <t>クブン</t>
    </rPh>
    <rPh sb="23" eb="24">
      <t>ベツ</t>
    </rPh>
    <rPh sb="25" eb="27">
      <t>セッテイ</t>
    </rPh>
    <rPh sb="27" eb="29">
      <t>ナイヨウ</t>
    </rPh>
    <phoneticPr fontId="3"/>
  </si>
  <si>
    <t>２．社会保険加入対象者の条件</t>
    <rPh sb="2" eb="6">
      <t>シャカイホケン</t>
    </rPh>
    <rPh sb="6" eb="8">
      <t>カニュウ</t>
    </rPh>
    <rPh sb="8" eb="11">
      <t>タイショウシャ</t>
    </rPh>
    <rPh sb="12" eb="14">
      <t>ジョウケン</t>
    </rPh>
    <phoneticPr fontId="3"/>
  </si>
  <si>
    <t>　　① 社会保険適用拡大が未適用の会社</t>
    <rPh sb="8" eb="10">
      <t>テキヨウ</t>
    </rPh>
    <rPh sb="17" eb="19">
      <t>カイシャ</t>
    </rPh>
    <phoneticPr fontId="3"/>
  </si>
  <si>
    <t>★ 常時雇用されている従業員</t>
    <phoneticPr fontId="3"/>
  </si>
  <si>
    <t>★ 週の所定労働時間が常時雇用されている従業員の4分の3以上かつ、1カ月の所定労働日数が常時雇用されている従業員の4分の3以上である者</t>
    <phoneticPr fontId="3"/>
  </si>
  <si>
    <t>　上記２つの条件を満たせが勤務先の社会保険に加入します。</t>
    <rPh sb="1" eb="3">
      <t>ジョウキ</t>
    </rPh>
    <rPh sb="6" eb="8">
      <t>ジョウケン</t>
    </rPh>
    <rPh sb="9" eb="10">
      <t>ミ</t>
    </rPh>
    <rPh sb="13" eb="16">
      <t>キンムサキ</t>
    </rPh>
    <rPh sb="17" eb="21">
      <t>シャカイホケン</t>
    </rPh>
    <rPh sb="22" eb="24">
      <t>カニュウ</t>
    </rPh>
    <phoneticPr fontId="3"/>
  </si>
  <si>
    <r>
      <rPr>
        <b/>
        <sz val="11"/>
        <rFont val="ＭＳ Ｐゴシック"/>
        <family val="3"/>
        <charset val="128"/>
      </rPr>
      <t>　　（</t>
    </r>
    <r>
      <rPr>
        <b/>
        <u/>
        <sz val="11"/>
        <rFont val="ＭＳ Ｐゴシック"/>
        <family val="3"/>
        <charset val="128"/>
      </rPr>
      <t>このソフトでは、週所定労働時間フルタイムの4分の3以上の条件は</t>
    </r>
    <r>
      <rPr>
        <b/>
        <u/>
        <sz val="11"/>
        <color rgb="FF0000FF"/>
        <rFont val="ＭＳ Ｐゴシック"/>
        <family val="3"/>
        <charset val="128"/>
      </rPr>
      <t>「</t>
    </r>
    <r>
      <rPr>
        <b/>
        <u/>
        <sz val="14"/>
        <color rgb="FF0000FF"/>
        <rFont val="ＭＳ Ｐゴシック"/>
        <family val="3"/>
        <charset val="128"/>
      </rPr>
      <t>週所定労働時間３０時間以上</t>
    </r>
    <r>
      <rPr>
        <b/>
        <u/>
        <sz val="11"/>
        <color rgb="FF0000FF"/>
        <rFont val="ＭＳ Ｐゴシック"/>
        <family val="3"/>
        <charset val="128"/>
      </rPr>
      <t>」と</t>
    </r>
    <r>
      <rPr>
        <b/>
        <u/>
        <sz val="11"/>
        <color theme="1"/>
        <rFont val="ＭＳ Ｐゴシック"/>
        <family val="3"/>
        <charset val="128"/>
      </rPr>
      <t>読み替えて設定していま</t>
    </r>
    <r>
      <rPr>
        <b/>
        <u/>
        <sz val="11"/>
        <rFont val="ＭＳ Ｐゴシック"/>
        <family val="3"/>
        <charset val="128"/>
      </rPr>
      <t>す。）</t>
    </r>
    <rPh sb="31" eb="33">
      <t>ジョウケン</t>
    </rPh>
    <rPh sb="35" eb="42">
      <t>シュウショテイロウドウジカン</t>
    </rPh>
    <rPh sb="44" eb="46">
      <t>ジカン</t>
    </rPh>
    <rPh sb="46" eb="48">
      <t>イジョウ</t>
    </rPh>
    <rPh sb="50" eb="51">
      <t>ヨ</t>
    </rPh>
    <rPh sb="52" eb="53">
      <t>カ</t>
    </rPh>
    <rPh sb="55" eb="57">
      <t>セッテイ</t>
    </rPh>
    <phoneticPr fontId="3"/>
  </si>
  <si>
    <t>★ 週所定労働時間３０時間未満で、年収１３０万円を超えると扶養から外れ国民年金・国民健康保険に加入することが義務付けらます。（いわゆる１３０万円の壁）。</t>
    <rPh sb="2" eb="9">
      <t>シュウショテイロウドウジカン</t>
    </rPh>
    <rPh sb="11" eb="13">
      <t>ジカン</t>
    </rPh>
    <rPh sb="13" eb="15">
      <t>ミマン</t>
    </rPh>
    <rPh sb="17" eb="19">
      <t>ネンシュウ</t>
    </rPh>
    <rPh sb="22" eb="24">
      <t>マンエン</t>
    </rPh>
    <rPh sb="25" eb="26">
      <t>コ</t>
    </rPh>
    <rPh sb="29" eb="31">
      <t>フヨウ</t>
    </rPh>
    <rPh sb="33" eb="34">
      <t>ハズ</t>
    </rPh>
    <rPh sb="35" eb="39">
      <t>コクミンネンキン</t>
    </rPh>
    <rPh sb="40" eb="46">
      <t>コクミンケンコウホケン</t>
    </rPh>
    <rPh sb="47" eb="49">
      <t>カニュウ</t>
    </rPh>
    <rPh sb="54" eb="57">
      <t>ギムヅ</t>
    </rPh>
    <rPh sb="70" eb="72">
      <t>マンエン</t>
    </rPh>
    <rPh sb="73" eb="74">
      <t>カベ</t>
    </rPh>
    <phoneticPr fontId="3"/>
  </si>
  <si>
    <t>　　勤務先の社会保険に加入する場合よりも社会保険料の負担が大きくなります。</t>
    <rPh sb="2" eb="5">
      <t>キンムサキ</t>
    </rPh>
    <rPh sb="15" eb="17">
      <t>バアイ</t>
    </rPh>
    <rPh sb="20" eb="25">
      <t>シャカイホケンリョウ</t>
    </rPh>
    <rPh sb="26" eb="28">
      <t>フタン</t>
    </rPh>
    <rPh sb="29" eb="30">
      <t>オオ</t>
    </rPh>
    <phoneticPr fontId="3"/>
  </si>
  <si>
    <t>　　② 社会保険適用拡大が適用された会社</t>
    <rPh sb="8" eb="10">
      <t>テキヨウ</t>
    </rPh>
    <rPh sb="18" eb="20">
      <t>カイシャ</t>
    </rPh>
    <phoneticPr fontId="3"/>
  </si>
  <si>
    <t>★ 週所定労働時間２０時間以上である者</t>
    <rPh sb="18" eb="19">
      <t>モノ</t>
    </rPh>
    <phoneticPr fontId="3"/>
  </si>
  <si>
    <t>★ 厚生年金の被保険者（正社員やフルタイム労働者の4分の3以上の労働時間で働くパートタイムなど）を数える</t>
    <phoneticPr fontId="3"/>
  </si>
  <si>
    <t>★ 法人の場合、法人番号が同一の企業を合計して判断</t>
    <phoneticPr fontId="3"/>
  </si>
  <si>
    <t>★ 従業員数が下回ったとしても原則として拡大後のルールが引き続き適用</t>
    <phoneticPr fontId="3"/>
  </si>
  <si>
    <t>　　③ 社会保険適用拡大後の適用基準と留意点</t>
    <rPh sb="8" eb="10">
      <t>テキヨウ</t>
    </rPh>
    <rPh sb="12" eb="13">
      <t>ゴ</t>
    </rPh>
    <rPh sb="14" eb="16">
      <t>テキヨウ</t>
    </rPh>
    <rPh sb="16" eb="18">
      <t>キジュン</t>
    </rPh>
    <rPh sb="19" eb="22">
      <t>リュウイテン</t>
    </rPh>
    <phoneticPr fontId="3"/>
  </si>
  <si>
    <t>★ 直近１２ヵ月のうち、６ヵ月で基準を上回った段階で適用</t>
    <rPh sb="7" eb="8">
      <t>ゲツ</t>
    </rPh>
    <rPh sb="14" eb="15">
      <t>ゲツ</t>
    </rPh>
    <phoneticPr fontId="3"/>
  </si>
  <si>
    <t>　　④ 従業員に社会保険加入の意向確認</t>
    <rPh sb="4" eb="7">
      <t>ジュウギョウイン</t>
    </rPh>
    <rPh sb="8" eb="10">
      <t>シャカイ</t>
    </rPh>
    <rPh sb="10" eb="12">
      <t>ホケン</t>
    </rPh>
    <rPh sb="12" eb="14">
      <t>カニュウ</t>
    </rPh>
    <rPh sb="15" eb="17">
      <t>イコウ</t>
    </rPh>
    <rPh sb="17" eb="19">
      <t>カクニン</t>
    </rPh>
    <phoneticPr fontId="3"/>
  </si>
  <si>
    <t>★ 労働契約上、要件を満たす契約を結んでいる場合、社会保険への加入義務が生じます。</t>
    <phoneticPr fontId="3"/>
  </si>
  <si>
    <t>　しかし、従業員によっては「扶養の範囲内で働きたい」という家庭の事情もあり得ることから、早いタイミングで改正内容を周知し、場合によっては契約内容の見直しをするなどの選択肢が想定されます。</t>
    <phoneticPr fontId="3"/>
  </si>
  <si>
    <t>★ 社会保険に加入することで、老後の年金増額や万が一働けなくなった場合に傷病手当金（概ね給与の3分の2）を受けることができ、長期的にプラスにもなり得るため懇切丁寧に説明することが重要です。</t>
    <phoneticPr fontId="3"/>
  </si>
  <si>
    <t>★ 企業が想定すべきリスクとして、万が一適用要件に合致するにもかかわらず、加入できていないパートタイムがいた場合、さかのぼって加入させる必要があり、その分の保険料の納付も必要になります。</t>
    <phoneticPr fontId="3"/>
  </si>
  <si>
    <t>月収チェック（88，000円以上）</t>
    <rPh sb="0" eb="2">
      <t>ゲッシュウ</t>
    </rPh>
    <rPh sb="13" eb="14">
      <t>エン</t>
    </rPh>
    <rPh sb="14" eb="16">
      <t>イジョウ</t>
    </rPh>
    <phoneticPr fontId="3"/>
  </si>
  <si>
    <t>チェック項目</t>
    <rPh sb="4" eb="6">
      <t>コウモク</t>
    </rPh>
    <phoneticPr fontId="3"/>
  </si>
  <si>
    <t>週所定労働時間チェック（30H以上勤務先の社会保険に加入）</t>
    <rPh sb="0" eb="3">
      <t>シュウショテイ</t>
    </rPh>
    <rPh sb="3" eb="7">
      <t>ロウドウジカン</t>
    </rPh>
    <rPh sb="15" eb="17">
      <t>イジョウ</t>
    </rPh>
    <rPh sb="17" eb="20">
      <t>キンムサキ</t>
    </rPh>
    <phoneticPr fontId="3"/>
  </si>
  <si>
    <t>週所定労働時間チェック（20H以上勤務先の社会保険に加入）</t>
    <rPh sb="0" eb="3">
      <t>シュウショテイ</t>
    </rPh>
    <rPh sb="3" eb="7">
      <t>ロウドウジカン</t>
    </rPh>
    <rPh sb="15" eb="17">
      <t>イジョウ</t>
    </rPh>
    <rPh sb="17" eb="20">
      <t>キンムサキ</t>
    </rPh>
    <phoneticPr fontId="3"/>
  </si>
  <si>
    <t>シミュレーションのチェック基準</t>
    <rPh sb="13" eb="15">
      <t>キジュン</t>
    </rPh>
    <phoneticPr fontId="3"/>
  </si>
  <si>
    <t>適用拡大の
未適用</t>
    <rPh sb="0" eb="4">
      <t>テキヨウカクダイ</t>
    </rPh>
    <rPh sb="6" eb="9">
      <t>ミテキヨウ</t>
    </rPh>
    <phoneticPr fontId="3"/>
  </si>
  <si>
    <t>適用拡大の
適用</t>
    <rPh sb="0" eb="4">
      <t>テキヨウカクダイ</t>
    </rPh>
    <rPh sb="6" eb="8">
      <t>テキヨウ</t>
    </rPh>
    <phoneticPr fontId="3"/>
  </si>
  <si>
    <t>雇用保険</t>
    <rPh sb="0" eb="2">
      <t>コヨウ</t>
    </rPh>
    <rPh sb="2" eb="4">
      <t>ホケン</t>
    </rPh>
    <phoneticPr fontId="3"/>
  </si>
  <si>
    <t>週所定労働時間チェック（20H以上で加入）</t>
    <rPh sb="0" eb="3">
      <t>シュウショテイ</t>
    </rPh>
    <rPh sb="3" eb="7">
      <t>ロウドウジカン</t>
    </rPh>
    <rPh sb="15" eb="17">
      <t>イジョウ</t>
    </rPh>
    <rPh sb="18" eb="20">
      <t>カニュウ</t>
    </rPh>
    <phoneticPr fontId="3"/>
  </si>
  <si>
    <t>年収チェック（130万以上扶養外）国民年金・国民健康保険に加入</t>
    <rPh sb="0" eb="2">
      <t>ネンシュウ</t>
    </rPh>
    <rPh sb="10" eb="11">
      <t>マン</t>
    </rPh>
    <rPh sb="11" eb="13">
      <t>イジョウ</t>
    </rPh>
    <rPh sb="13" eb="15">
      <t>フヨウ</t>
    </rPh>
    <rPh sb="15" eb="16">
      <t>ガイ</t>
    </rPh>
    <rPh sb="17" eb="21">
      <t>コクミンネンキン</t>
    </rPh>
    <rPh sb="22" eb="24">
      <t>コクミン</t>
    </rPh>
    <rPh sb="24" eb="28">
      <t>ケンコウホケン</t>
    </rPh>
    <rPh sb="29" eb="31">
      <t>カニュウ</t>
    </rPh>
    <phoneticPr fontId="3"/>
  </si>
  <si>
    <t>年収チェック（130万以上扶養外）国民年金・国民健康保険に加入</t>
    <rPh sb="0" eb="2">
      <t>ネンシュウ</t>
    </rPh>
    <rPh sb="10" eb="11">
      <t>マン</t>
    </rPh>
    <rPh sb="11" eb="13">
      <t>イジョウ</t>
    </rPh>
    <rPh sb="13" eb="15">
      <t>フヨウ</t>
    </rPh>
    <rPh sb="15" eb="16">
      <t>ガイ</t>
    </rPh>
    <rPh sb="17" eb="19">
      <t>コクミン</t>
    </rPh>
    <rPh sb="19" eb="21">
      <t>ネンキン</t>
    </rPh>
    <rPh sb="22" eb="24">
      <t>コクミン</t>
    </rPh>
    <rPh sb="24" eb="26">
      <t>ケンコウ</t>
    </rPh>
    <rPh sb="26" eb="28">
      <t>ホケン</t>
    </rPh>
    <rPh sb="29" eb="31">
      <t>カニュウ</t>
    </rPh>
    <phoneticPr fontId="3"/>
  </si>
  <si>
    <t>参照セル
8.8万チェック</t>
    <rPh sb="0" eb="2">
      <t>サンショウ</t>
    </rPh>
    <rPh sb="8" eb="9">
      <t>マン</t>
    </rPh>
    <phoneticPr fontId="3"/>
  </si>
  <si>
    <t>家族手当</t>
    <rPh sb="0" eb="4">
      <t>カゾクテアテ</t>
    </rPh>
    <phoneticPr fontId="3"/>
  </si>
  <si>
    <t>住宅手当</t>
    <rPh sb="0" eb="4">
      <t>ジュウタクテアテ</t>
    </rPh>
    <phoneticPr fontId="3"/>
  </si>
  <si>
    <t>精皆勤手当</t>
    <rPh sb="0" eb="1">
      <t>セイ</t>
    </rPh>
    <rPh sb="1" eb="5">
      <t>カイキンテア</t>
    </rPh>
    <phoneticPr fontId="3"/>
  </si>
  <si>
    <t>深夜勤務手当</t>
    <rPh sb="0" eb="2">
      <t>シンヤ</t>
    </rPh>
    <rPh sb="2" eb="4">
      <t>キンム</t>
    </rPh>
    <rPh sb="4" eb="6">
      <t>テアテ</t>
    </rPh>
    <phoneticPr fontId="3"/>
  </si>
  <si>
    <t>休日出勤手当</t>
    <rPh sb="0" eb="2">
      <t>キュウジツ</t>
    </rPh>
    <rPh sb="2" eb="4">
      <t>シュッキン</t>
    </rPh>
    <rPh sb="4" eb="6">
      <t>テアテ</t>
    </rPh>
    <phoneticPr fontId="3"/>
  </si>
  <si>
    <t>時間外勤務手当</t>
    <rPh sb="0" eb="3">
      <t>ジカンガイ</t>
    </rPh>
    <rPh sb="3" eb="5">
      <t>キンム</t>
    </rPh>
    <rPh sb="5" eb="7">
      <t>テアテ</t>
    </rPh>
    <phoneticPr fontId="3"/>
  </si>
  <si>
    <t>※時間外勤務・休日出勤・深夜勤務等手当は見込み金額です！</t>
    <rPh sb="1" eb="4">
      <t>ジカンガイ</t>
    </rPh>
    <rPh sb="4" eb="6">
      <t>キンム</t>
    </rPh>
    <rPh sb="7" eb="9">
      <t>キュウジツ</t>
    </rPh>
    <rPh sb="9" eb="11">
      <t>シュッキン</t>
    </rPh>
    <rPh sb="12" eb="14">
      <t>シンヤ</t>
    </rPh>
    <rPh sb="14" eb="16">
      <t>キンム</t>
    </rPh>
    <rPh sb="16" eb="17">
      <t>トウ</t>
    </rPh>
    <rPh sb="17" eb="19">
      <t>テアテ</t>
    </rPh>
    <rPh sb="20" eb="22">
      <t>ミコ</t>
    </rPh>
    <rPh sb="23" eb="25">
      <t>キンガク</t>
    </rPh>
    <phoneticPr fontId="3"/>
  </si>
  <si>
    <t>⇒　⇒　⇒</t>
    <phoneticPr fontId="3"/>
  </si>
  <si>
    <t>月収（標準報酬月額算定基準）</t>
    <rPh sb="0" eb="2">
      <t>ゲッシュウ</t>
    </rPh>
    <rPh sb="3" eb="5">
      <t>ヒョウジュン</t>
    </rPh>
    <rPh sb="5" eb="7">
      <t>ホウシュウ</t>
    </rPh>
    <rPh sb="7" eb="9">
      <t>ガツガク</t>
    </rPh>
    <rPh sb="9" eb="11">
      <t>サンテイ</t>
    </rPh>
    <rPh sb="11" eb="13">
      <t>キジュン</t>
    </rPh>
    <phoneticPr fontId="3"/>
  </si>
  <si>
    <r>
      <rPr>
        <b/>
        <sz val="11"/>
        <color rgb="FFFF0000"/>
        <rFont val="ＭＳ ゴシック"/>
        <family val="3"/>
        <charset val="128"/>
      </rPr>
      <t xml:space="preserve">※ </t>
    </r>
    <r>
      <rPr>
        <b/>
        <sz val="10"/>
        <rFont val="ＭＳ ゴシック"/>
        <family val="3"/>
        <charset val="128"/>
      </rPr>
      <t>8.8万円算定に算入される手当-①</t>
    </r>
    <rPh sb="5" eb="7">
      <t>マンエン</t>
    </rPh>
    <rPh sb="7" eb="9">
      <t>サンテイ</t>
    </rPh>
    <rPh sb="10" eb="12">
      <t>サンニュウ</t>
    </rPh>
    <rPh sb="15" eb="17">
      <t>テアテ</t>
    </rPh>
    <phoneticPr fontId="3"/>
  </si>
  <si>
    <r>
      <rPr>
        <b/>
        <sz val="11"/>
        <color rgb="FFFF0000"/>
        <rFont val="ＭＳ ゴシック"/>
        <family val="3"/>
        <charset val="128"/>
      </rPr>
      <t xml:space="preserve">※ </t>
    </r>
    <r>
      <rPr>
        <b/>
        <sz val="11"/>
        <rFont val="ＭＳ ゴシック"/>
        <family val="3"/>
        <charset val="128"/>
      </rPr>
      <t>報酬月額算定に算入される諸手当-③　⇒　⇒　⇒</t>
    </r>
    <rPh sb="2" eb="4">
      <t>ホウシュウ</t>
    </rPh>
    <rPh sb="4" eb="6">
      <t>ゲツガク</t>
    </rPh>
    <rPh sb="6" eb="8">
      <t>サンテイ</t>
    </rPh>
    <rPh sb="9" eb="11">
      <t>サンニュウ</t>
    </rPh>
    <rPh sb="14" eb="17">
      <t>ショテアテ</t>
    </rPh>
    <phoneticPr fontId="3"/>
  </si>
  <si>
    <t>月収
（8.8万円算定基準）</t>
    <rPh sb="0" eb="2">
      <t>ゲッシュウ</t>
    </rPh>
    <rPh sb="7" eb="8">
      <t>マン</t>
    </rPh>
    <rPh sb="8" eb="9">
      <t>エン</t>
    </rPh>
    <rPh sb="9" eb="11">
      <t>サンテイ</t>
    </rPh>
    <rPh sb="11" eb="13">
      <t>キジュン</t>
    </rPh>
    <phoneticPr fontId="3"/>
  </si>
  <si>
    <t>月収
（年収算定基準）</t>
    <rPh sb="0" eb="2">
      <t>ゲッシュウ</t>
    </rPh>
    <rPh sb="4" eb="6">
      <t>ネンシュウ</t>
    </rPh>
    <rPh sb="6" eb="8">
      <t>サンテイ</t>
    </rPh>
    <rPh sb="8" eb="10">
      <t>キジュン</t>
    </rPh>
    <phoneticPr fontId="3"/>
  </si>
  <si>
    <t>月収算定基準の諸手当</t>
    <rPh sb="0" eb="2">
      <t>ゲッシュウ</t>
    </rPh>
    <rPh sb="2" eb="4">
      <t>サンテイ</t>
    </rPh>
    <rPh sb="4" eb="6">
      <t>キジュン</t>
    </rPh>
    <rPh sb="7" eb="10">
      <t>ショテアテ</t>
    </rPh>
    <phoneticPr fontId="3"/>
  </si>
  <si>
    <t>標準報酬月額算定基準の諸手当</t>
    <rPh sb="0" eb="6">
      <t>ヒョウジュンホウシュウゲツガク</t>
    </rPh>
    <rPh sb="6" eb="8">
      <t>サンテイ</t>
    </rPh>
    <rPh sb="8" eb="10">
      <t>キジュン</t>
    </rPh>
    <rPh sb="11" eb="14">
      <t>ショテアテ</t>
    </rPh>
    <phoneticPr fontId="3"/>
  </si>
  <si>
    <t>8.8万円算定基準の諸手当</t>
    <rPh sb="3" eb="5">
      <t>マンエン</t>
    </rPh>
    <rPh sb="5" eb="9">
      <t>サンテイキジュン</t>
    </rPh>
    <rPh sb="10" eb="13">
      <t>ショテアテ</t>
    </rPh>
    <phoneticPr fontId="3"/>
  </si>
  <si>
    <t>１ヵ月給与総額（標準報酬月額算定基準）</t>
    <rPh sb="0" eb="3">
      <t>イッカゲツ</t>
    </rPh>
    <rPh sb="3" eb="5">
      <t>キュウヨ</t>
    </rPh>
    <rPh sb="5" eb="7">
      <t>ソウガク</t>
    </rPh>
    <rPh sb="8" eb="14">
      <t>ヒョウジュンホウシュウゲツガク</t>
    </rPh>
    <rPh sb="14" eb="16">
      <t>サンテイ</t>
    </rPh>
    <rPh sb="16" eb="18">
      <t>キジュン</t>
    </rPh>
    <phoneticPr fontId="3"/>
  </si>
  <si>
    <t>年間給与総額（月収×12+賞与）</t>
    <rPh sb="0" eb="1">
      <t>ネン</t>
    </rPh>
    <rPh sb="1" eb="2">
      <t>カン</t>
    </rPh>
    <rPh sb="2" eb="4">
      <t>キュウヨ</t>
    </rPh>
    <rPh sb="4" eb="5">
      <t>ソウ</t>
    </rPh>
    <rPh sb="5" eb="6">
      <t>ガク</t>
    </rPh>
    <rPh sb="7" eb="9">
      <t>ゲッシュウ</t>
    </rPh>
    <rPh sb="13" eb="15">
      <t>ショウヨ</t>
    </rPh>
    <phoneticPr fontId="3"/>
  </si>
  <si>
    <t>※通勤手当は非課税限度額までとします。</t>
    <rPh sb="1" eb="5">
      <t>ツウキンテアテ</t>
    </rPh>
    <rPh sb="6" eb="9">
      <t>ヒカゼイ</t>
    </rPh>
    <rPh sb="9" eb="11">
      <t>ゲンド</t>
    </rPh>
    <rPh sb="11" eb="12">
      <t>ガク</t>
    </rPh>
    <phoneticPr fontId="3"/>
  </si>
  <si>
    <r>
      <t>※非課税限度額を超える通勤手当は</t>
    </r>
    <r>
      <rPr>
        <b/>
        <u/>
        <sz val="11"/>
        <rFont val="ＭＳ ゴシック"/>
        <family val="3"/>
        <charset val="128"/>
      </rPr>
      <t>通勤手当②</t>
    </r>
    <r>
      <rPr>
        <b/>
        <sz val="11"/>
        <rFont val="ＭＳ ゴシック"/>
        <family val="3"/>
        <charset val="128"/>
      </rPr>
      <t>等として、課税対象として別途に手当を設けます。</t>
    </r>
    <rPh sb="1" eb="4">
      <t>ヒカゼイ</t>
    </rPh>
    <rPh sb="4" eb="7">
      <t>ゲンドガク</t>
    </rPh>
    <rPh sb="8" eb="9">
      <t>コ</t>
    </rPh>
    <rPh sb="11" eb="13">
      <t>ツウキン</t>
    </rPh>
    <rPh sb="13" eb="15">
      <t>テアテ</t>
    </rPh>
    <rPh sb="16" eb="20">
      <t>ツウキンテアテ</t>
    </rPh>
    <rPh sb="21" eb="22">
      <t>トウ</t>
    </rPh>
    <rPh sb="26" eb="30">
      <t>カゼイタイショウ</t>
    </rPh>
    <rPh sb="33" eb="35">
      <t>ベット</t>
    </rPh>
    <rPh sb="36" eb="38">
      <t>テアテ</t>
    </rPh>
    <rPh sb="39" eb="40">
      <t>モウ</t>
    </rPh>
    <phoneticPr fontId="3"/>
  </si>
  <si>
    <r>
      <rPr>
        <b/>
        <sz val="11"/>
        <color rgb="FFFF0000"/>
        <rFont val="ＭＳ ゴシック"/>
        <family val="3"/>
        <charset val="128"/>
      </rPr>
      <t xml:space="preserve">※ </t>
    </r>
    <r>
      <rPr>
        <b/>
        <sz val="11"/>
        <rFont val="ＭＳ ゴシック"/>
        <family val="3"/>
        <charset val="128"/>
      </rPr>
      <t>年収算定に算入される諸手当（課税対象）-②　⇒　⇒</t>
    </r>
    <rPh sb="2" eb="4">
      <t>ネンシュウ</t>
    </rPh>
    <rPh sb="4" eb="6">
      <t>サンテイ</t>
    </rPh>
    <rPh sb="7" eb="9">
      <t>サンニュウ</t>
    </rPh>
    <rPh sb="12" eb="15">
      <t>ショテアテ</t>
    </rPh>
    <rPh sb="16" eb="18">
      <t>カゼイ</t>
    </rPh>
    <rPh sb="18" eb="20">
      <t>タイショウ</t>
    </rPh>
    <phoneticPr fontId="3"/>
  </si>
  <si>
    <r>
      <rPr>
        <b/>
        <sz val="14"/>
        <color rgb="FF0000CC"/>
        <rFont val="ＭＳ Ｐゴシック"/>
        <family val="3"/>
        <charset val="128"/>
      </rPr>
      <t>　　</t>
    </r>
    <r>
      <rPr>
        <b/>
        <u/>
        <sz val="14"/>
        <color rgb="FF0000CC"/>
        <rFont val="ＭＳ Ｐゴシック"/>
        <family val="3"/>
        <charset val="128"/>
      </rPr>
      <t>Ｑ＆Ａ集（その２） 
(令和４年 10 月施行分)より】</t>
    </r>
    <rPh sb="5" eb="6">
      <t>シュウ</t>
    </rPh>
    <rPh sb="14" eb="16">
      <t>レイワ</t>
    </rPh>
    <rPh sb="17" eb="18">
      <t>ネン</t>
    </rPh>
    <rPh sb="22" eb="23">
      <t>ガツ</t>
    </rPh>
    <rPh sb="23" eb="25">
      <t>セコウ</t>
    </rPh>
    <rPh sb="25" eb="26">
      <t>ブン</t>
    </rPh>
    <phoneticPr fontId="3"/>
  </si>
  <si>
    <t>以上で。　有効にご活用いただければ幸いです！</t>
    <rPh sb="0" eb="2">
      <t>イジョウ</t>
    </rPh>
    <rPh sb="5" eb="7">
      <t>ユウコウ</t>
    </rPh>
    <rPh sb="9" eb="11">
      <t>カツヨウ</t>
    </rPh>
    <rPh sb="17" eb="18">
      <t>サイワ</t>
    </rPh>
    <phoneticPr fontId="3"/>
  </si>
  <si>
    <t>★ ２０２３年８月１日現在の法律を基準に作成しています！　</t>
    <rPh sb="6" eb="7">
      <t>ネン</t>
    </rPh>
    <rPh sb="8" eb="9">
      <t>ガツ</t>
    </rPh>
    <rPh sb="10" eb="11">
      <t>ニチ</t>
    </rPh>
    <rPh sb="11" eb="13">
      <t>ゲンザイ</t>
    </rPh>
    <rPh sb="14" eb="16">
      <t>ホウリツ</t>
    </rPh>
    <rPh sb="17" eb="19">
      <t>キジュン</t>
    </rPh>
    <rPh sb="20" eb="22">
      <t>サクセイ</t>
    </rPh>
    <phoneticPr fontId="3"/>
  </si>
  <si>
    <r>
      <t xml:space="preserve">★ </t>
    </r>
    <r>
      <rPr>
        <b/>
        <u/>
        <sz val="12"/>
        <color rgb="FFFF0000"/>
        <rFont val="ＭＳ Ｐゴシック"/>
        <family val="3"/>
        <charset val="128"/>
      </rPr>
      <t>２０２３年８月１日現在</t>
    </r>
    <r>
      <rPr>
        <b/>
        <u/>
        <sz val="12"/>
        <rFont val="ＭＳ Ｐゴシック"/>
        <family val="3"/>
        <charset val="128"/>
      </rPr>
      <t>の法律基準によるシミュレーションのチェックポイント</t>
    </r>
    <rPh sb="6" eb="7">
      <t>ネン</t>
    </rPh>
    <rPh sb="8" eb="9">
      <t>ガツ</t>
    </rPh>
    <rPh sb="10" eb="11">
      <t>ニチ</t>
    </rPh>
    <rPh sb="11" eb="13">
      <t>ゲンザイ</t>
    </rPh>
    <rPh sb="14" eb="16">
      <t>ホウリツ</t>
    </rPh>
    <rPh sb="16" eb="18">
      <t>キジュン</t>
    </rPh>
    <phoneticPr fontId="3"/>
  </si>
  <si>
    <t>従業員への説明資料作成に、本ソフトをご活用下さい！</t>
    <rPh sb="0" eb="3">
      <t>ジュウギョウイン</t>
    </rPh>
    <rPh sb="5" eb="7">
      <t>セツメイ</t>
    </rPh>
    <rPh sb="7" eb="9">
      <t>シリョウ</t>
    </rPh>
    <rPh sb="9" eb="11">
      <t>サクセイ</t>
    </rPh>
    <rPh sb="13" eb="14">
      <t>ホン</t>
    </rPh>
    <rPh sb="19" eb="21">
      <t>カツヨウ</t>
    </rPh>
    <rPh sb="21" eb="22">
      <t>クダ</t>
    </rPh>
    <phoneticPr fontId="3"/>
  </si>
  <si>
    <t>目に見えるデータを示しながら、本人への意向確認を行うことができます。</t>
    <rPh sb="0" eb="1">
      <t>メ</t>
    </rPh>
    <rPh sb="2" eb="3">
      <t>ミ</t>
    </rPh>
    <rPh sb="9" eb="10">
      <t>シメ</t>
    </rPh>
    <rPh sb="24" eb="25">
      <t>オコナ</t>
    </rPh>
    <phoneticPr fontId="3"/>
  </si>
  <si>
    <r>
      <t>　</t>
    </r>
    <r>
      <rPr>
        <u/>
        <sz val="18"/>
        <color rgb="FF0000CC"/>
        <rFont val="ＭＳ Ｐゴシック"/>
        <family val="3"/>
        <charset val="128"/>
      </rPr>
      <t>手取り年収</t>
    </r>
    <rPh sb="1" eb="3">
      <t>テド</t>
    </rPh>
    <rPh sb="4" eb="6">
      <t>ネンシュウ</t>
    </rPh>
    <phoneticPr fontId="3"/>
  </si>
  <si>
    <t>※選択「２」でも、週所定労働時間３０時間以上は自動的に勤務先の社会保険料計算！</t>
    <rPh sb="1" eb="3">
      <t>センタク</t>
    </rPh>
    <rPh sb="9" eb="10">
      <t>シュウ</t>
    </rPh>
    <rPh sb="10" eb="12">
      <t>ショテイ</t>
    </rPh>
    <rPh sb="12" eb="14">
      <t>ロウドウ</t>
    </rPh>
    <rPh sb="14" eb="16">
      <t>ジカン</t>
    </rPh>
    <rPh sb="18" eb="20">
      <t>ジカン</t>
    </rPh>
    <rPh sb="20" eb="22">
      <t>イジョウ</t>
    </rPh>
    <rPh sb="23" eb="26">
      <t>ジドウテキ</t>
    </rPh>
    <rPh sb="27" eb="30">
      <t>キンムサキ</t>
    </rPh>
    <rPh sb="31" eb="35">
      <t>シャカイホケン</t>
    </rPh>
    <rPh sb="35" eb="36">
      <t>リョウ</t>
    </rPh>
    <rPh sb="36" eb="38">
      <t>ケイサン</t>
    </rPh>
    <phoneticPr fontId="3"/>
  </si>
  <si>
    <t>介護保険料</t>
    <rPh sb="0" eb="4">
      <t>カイゴホケン</t>
    </rPh>
    <rPh sb="4" eb="5">
      <t>リョウ</t>
    </rPh>
    <phoneticPr fontId="3"/>
  </si>
  <si>
    <t>介護保険料負担開始年齢</t>
    <rPh sb="0" eb="2">
      <t>カイゴ</t>
    </rPh>
    <rPh sb="2" eb="5">
      <t>ホケンリョウ</t>
    </rPh>
    <rPh sb="5" eb="7">
      <t>フタン</t>
    </rPh>
    <rPh sb="7" eb="9">
      <t>カイシ</t>
    </rPh>
    <rPh sb="9" eb="11">
      <t>ネンレイ</t>
    </rPh>
    <phoneticPr fontId="3"/>
  </si>
  <si>
    <t>所得税基礎控除額</t>
    <rPh sb="0" eb="3">
      <t>ショトクゼイ</t>
    </rPh>
    <rPh sb="3" eb="8">
      <t>キソコウジョガク</t>
    </rPh>
    <phoneticPr fontId="3"/>
  </si>
  <si>
    <t>住民税基礎控除額</t>
    <rPh sb="0" eb="3">
      <t>ジュウミンゼイ</t>
    </rPh>
    <rPh sb="3" eb="8">
      <t>キソコウジョガク</t>
    </rPh>
    <phoneticPr fontId="3"/>
  </si>
  <si>
    <t>納税者本人の合計所得金額　2,400万円以下</t>
    <phoneticPr fontId="3"/>
  </si>
  <si>
    <t>どこの地域でも原則43万円</t>
    <phoneticPr fontId="3"/>
  </si>
  <si>
    <t>復興特別所得税</t>
  </si>
  <si>
    <t>【合計課税所得金額が200万円以下の場合】</t>
    <phoneticPr fontId="3"/>
  </si>
  <si>
    <t>【合計課税所得金額が200万円を超える場合】</t>
    <phoneticPr fontId="3"/>
  </si>
  <si>
    <t>参照値</t>
    <rPh sb="0" eb="3">
      <t>サンショウチ</t>
    </rPh>
    <phoneticPr fontId="3"/>
  </si>
  <si>
    <t>次の1,2のいずれか少ない金額の5％が調整控除額
　1.人的控除額の差額の合計金額
　2.合計所得金額</t>
    <phoneticPr fontId="3"/>
  </si>
  <si>
    <t>【人的控除額の差額の合計金額－（合計課税所得金額－200万円）】×5％
ただし、計算結果が2,500円未満のときは、2,500円。</t>
    <phoneticPr fontId="3"/>
  </si>
  <si>
    <t>住民税 調整控除の計算方法</t>
    <rPh sb="0" eb="3">
      <t>ジュウミンゼイ</t>
    </rPh>
    <phoneticPr fontId="3"/>
  </si>
  <si>
    <t>厚生年金・健保保険料率に変更があれば修正入力します！</t>
    <rPh sb="0" eb="2">
      <t>コウセイ</t>
    </rPh>
    <rPh sb="2" eb="4">
      <t>ネンキン</t>
    </rPh>
    <rPh sb="5" eb="7">
      <t>ケンポ</t>
    </rPh>
    <rPh sb="7" eb="10">
      <t>ホケンリョウ</t>
    </rPh>
    <rPh sb="10" eb="11">
      <t>リツ</t>
    </rPh>
    <rPh sb="12" eb="14">
      <t>ヘンコウ</t>
    </rPh>
    <rPh sb="18" eb="20">
      <t>シュウセイ</t>
    </rPh>
    <rPh sb="20" eb="22">
      <t>ニュウリョク</t>
    </rPh>
    <phoneticPr fontId="3"/>
  </si>
  <si>
    <t>【手　順】</t>
    <rPh sb="1" eb="2">
      <t>テ</t>
    </rPh>
    <rPh sb="3" eb="4">
      <t>ジュン</t>
    </rPh>
    <phoneticPr fontId="3"/>
  </si>
  <si>
    <r>
      <t xml:space="preserve">② </t>
    </r>
    <r>
      <rPr>
        <b/>
        <sz val="12"/>
        <color rgb="FF0000FF"/>
        <rFont val="ＭＳ Ｐゴシック"/>
        <family val="3"/>
        <charset val="128"/>
      </rPr>
      <t>従業員コード番号、氏名、個別に該当する地方税の市区町村名</t>
    </r>
    <r>
      <rPr>
        <b/>
        <sz val="12"/>
        <color rgb="FFFF0000"/>
        <rFont val="ＭＳ Ｐゴシック"/>
        <family val="3"/>
        <charset val="128"/>
      </rPr>
      <t>（注1）</t>
    </r>
    <r>
      <rPr>
        <b/>
        <sz val="12"/>
        <color theme="1"/>
        <rFont val="ＭＳ Ｐゴシック"/>
        <family val="3"/>
        <charset val="128"/>
      </rPr>
      <t>、</t>
    </r>
    <r>
      <rPr>
        <b/>
        <sz val="12"/>
        <color rgb="FF0000FF"/>
        <rFont val="ＭＳ Ｐゴシック"/>
        <family val="3"/>
        <charset val="128"/>
      </rPr>
      <t>生年月日、入社年月日、週所定労働日数、週所定労働時間数</t>
    </r>
    <r>
      <rPr>
        <b/>
        <sz val="12"/>
        <color theme="1"/>
        <rFont val="ＭＳ Ｐゴシック"/>
        <family val="3"/>
        <charset val="128"/>
      </rPr>
      <t>、</t>
    </r>
    <rPh sb="2" eb="5">
      <t>ジュウギョウイン</t>
    </rPh>
    <rPh sb="8" eb="10">
      <t>バンゴウ</t>
    </rPh>
    <rPh sb="11" eb="13">
      <t>シメイ</t>
    </rPh>
    <rPh sb="14" eb="16">
      <t>コベツ</t>
    </rPh>
    <rPh sb="17" eb="19">
      <t>ガイトウ</t>
    </rPh>
    <rPh sb="21" eb="24">
      <t>チホウゼイ</t>
    </rPh>
    <rPh sb="25" eb="29">
      <t>シクチョウソン</t>
    </rPh>
    <rPh sb="29" eb="30">
      <t>メイ</t>
    </rPh>
    <rPh sb="31" eb="32">
      <t>チュウ</t>
    </rPh>
    <rPh sb="35" eb="37">
      <t>セイネン</t>
    </rPh>
    <rPh sb="37" eb="39">
      <t>ガッピ</t>
    </rPh>
    <rPh sb="40" eb="42">
      <t>ニュウシャ</t>
    </rPh>
    <rPh sb="42" eb="45">
      <t>ネンガッピ</t>
    </rPh>
    <rPh sb="46" eb="47">
      <t>シュウ</t>
    </rPh>
    <rPh sb="47" eb="53">
      <t>ショテイロウドウニッスウ</t>
    </rPh>
    <rPh sb="54" eb="61">
      <t>シュウショテイロウドウジカン</t>
    </rPh>
    <rPh sb="61" eb="62">
      <t>スウ</t>
    </rPh>
    <phoneticPr fontId="3"/>
  </si>
  <si>
    <r>
      <t xml:space="preserve">① </t>
    </r>
    <r>
      <rPr>
        <b/>
        <u/>
        <sz val="14"/>
        <rFont val="ＭＳ Ｐゴシック"/>
        <family val="3"/>
        <charset val="128"/>
      </rPr>
      <t>使用を開始する前にセルの「ロック」を解除して、シートの保護の再設定のお願いします！</t>
    </r>
    <phoneticPr fontId="3"/>
  </si>
  <si>
    <t>★セルの書式設定で入力セルを「ロック」しています。解除してください。</t>
    <rPh sb="4" eb="6">
      <t>ショシキ</t>
    </rPh>
    <rPh sb="6" eb="8">
      <t>セッテイ</t>
    </rPh>
    <rPh sb="9" eb="11">
      <t>ニュウリョク</t>
    </rPh>
    <rPh sb="25" eb="27">
      <t>カイジョ</t>
    </rPh>
    <phoneticPr fontId="3"/>
  </si>
  <si>
    <r>
      <rPr>
        <b/>
        <sz val="14"/>
        <color rgb="FF0000FF"/>
        <rFont val="ＭＳ Ｐゴシック"/>
        <family val="3"/>
        <charset val="128"/>
      </rPr>
      <t xml:space="preserve">   </t>
    </r>
    <r>
      <rPr>
        <b/>
        <u/>
        <sz val="14"/>
        <color indexed="12"/>
        <rFont val="ＭＳ Ｐゴシック"/>
        <family val="3"/>
        <charset val="128"/>
      </rPr>
      <t>青字＝入力セル</t>
    </r>
    <rPh sb="3" eb="4">
      <t>アオ</t>
    </rPh>
    <rPh sb="4" eb="5">
      <t>ジ</t>
    </rPh>
    <rPh sb="6" eb="8">
      <t>ニュウリョク</t>
    </rPh>
    <phoneticPr fontId="3"/>
  </si>
  <si>
    <t>改訂後
時間給</t>
    <rPh sb="0" eb="3">
      <t>カイテイゴ</t>
    </rPh>
    <rPh sb="4" eb="7">
      <t>ジカンキュウ</t>
    </rPh>
    <phoneticPr fontId="3"/>
  </si>
  <si>
    <t>週所定労働時間延長シミュレーション</t>
    <rPh sb="0" eb="1">
      <t>シュウ</t>
    </rPh>
    <rPh sb="1" eb="7">
      <t>ショテイロウドウジカン</t>
    </rPh>
    <rPh sb="7" eb="9">
      <t>エンチョウ</t>
    </rPh>
    <phoneticPr fontId="3"/>
  </si>
  <si>
    <t>所定労働時間／週</t>
    <rPh sb="0" eb="2">
      <t>ショテイ</t>
    </rPh>
    <rPh sb="1" eb="2">
      <t>マドコロ</t>
    </rPh>
    <rPh sb="2" eb="6">
      <t>ロウドウジカン</t>
    </rPh>
    <rPh sb="7" eb="8">
      <t>シュウ</t>
    </rPh>
    <phoneticPr fontId="3"/>
  </si>
  <si>
    <t>所定労働時間／年</t>
    <rPh sb="0" eb="2">
      <t>ショテイ</t>
    </rPh>
    <rPh sb="2" eb="6">
      <t>ロウドウジカン</t>
    </rPh>
    <rPh sb="7" eb="8">
      <t>ネン</t>
    </rPh>
    <phoneticPr fontId="3"/>
  </si>
  <si>
    <t>昇給額
（案）</t>
    <rPh sb="0" eb="2">
      <t>ショウキュウ</t>
    </rPh>
    <rPh sb="2" eb="3">
      <t>ガク</t>
    </rPh>
    <rPh sb="5" eb="6">
      <t>アン</t>
    </rPh>
    <phoneticPr fontId="3"/>
  </si>
  <si>
    <t>時間給
（現行）</t>
    <rPh sb="0" eb="3">
      <t>ジカンキュウ</t>
    </rPh>
    <rPh sb="5" eb="7">
      <t>ゲンコウ</t>
    </rPh>
    <phoneticPr fontId="3"/>
  </si>
  <si>
    <t>時間給（現行）</t>
    <rPh sb="0" eb="2">
      <t>ジカン</t>
    </rPh>
    <rPh sb="2" eb="3">
      <t>キュウ</t>
    </rPh>
    <rPh sb="4" eb="6">
      <t>ゲンコウ</t>
    </rPh>
    <phoneticPr fontId="3"/>
  </si>
  <si>
    <t>昇給額（案）</t>
    <rPh sb="0" eb="2">
      <t>ショウキュウ</t>
    </rPh>
    <rPh sb="2" eb="3">
      <t>ガク</t>
    </rPh>
    <rPh sb="4" eb="5">
      <t>アン</t>
    </rPh>
    <phoneticPr fontId="3"/>
  </si>
  <si>
    <t>改訂後時間給</t>
    <rPh sb="0" eb="3">
      <t>カイテイゴ</t>
    </rPh>
    <rPh sb="3" eb="6">
      <t>ジカンキュウ</t>
    </rPh>
    <phoneticPr fontId="3"/>
  </si>
  <si>
    <t>１ヵ月給与総額
諸手当算入
（月収算定基準）</t>
    <rPh sb="0" eb="3">
      <t>イッカゲツ</t>
    </rPh>
    <rPh sb="3" eb="5">
      <t>キュウヨ</t>
    </rPh>
    <rPh sb="5" eb="7">
      <t>ソウガク</t>
    </rPh>
    <rPh sb="8" eb="11">
      <t>ショテアテ</t>
    </rPh>
    <rPh sb="11" eb="13">
      <t>サンニュウ</t>
    </rPh>
    <rPh sb="15" eb="17">
      <t>ゲッシュウ</t>
    </rPh>
    <rPh sb="17" eb="19">
      <t>サンテイ</t>
    </rPh>
    <rPh sb="19" eb="21">
      <t>キジュン</t>
    </rPh>
    <phoneticPr fontId="3"/>
  </si>
  <si>
    <t>条件付き書式設定！</t>
    <phoneticPr fontId="3"/>
  </si>
  <si>
    <t>100万円以下</t>
    <rPh sb="3" eb="5">
      <t>マンエン</t>
    </rPh>
    <rPh sb="5" eb="7">
      <t>イカ</t>
    </rPh>
    <phoneticPr fontId="3"/>
  </si>
  <si>
    <t>100万円より大</t>
    <rPh sb="3" eb="5">
      <t>マンエン</t>
    </rPh>
    <rPh sb="7" eb="8">
      <t>ダイ</t>
    </rPh>
    <phoneticPr fontId="3"/>
  </si>
  <si>
    <t>130万円以上</t>
    <rPh sb="3" eb="5">
      <t>マンエン</t>
    </rPh>
    <rPh sb="5" eb="7">
      <t>イジョウ</t>
    </rPh>
    <phoneticPr fontId="3"/>
  </si>
  <si>
    <t>103万円より大</t>
    <rPh sb="3" eb="5">
      <t>マンエン</t>
    </rPh>
    <rPh sb="7" eb="8">
      <t>ダイ</t>
    </rPh>
    <phoneticPr fontId="3"/>
  </si>
  <si>
    <t>-</t>
    <phoneticPr fontId="3"/>
  </si>
  <si>
    <t>手取り年
収増減</t>
    <rPh sb="0" eb="2">
      <t>テド</t>
    </rPh>
    <rPh sb="3" eb="4">
      <t>ネン</t>
    </rPh>
    <rPh sb="5" eb="6">
      <t>オサム</t>
    </rPh>
    <rPh sb="6" eb="8">
      <t>ゾウゲン</t>
    </rPh>
    <phoneticPr fontId="3"/>
  </si>
  <si>
    <t>週所定労働時間（35H上限設定）</t>
    <rPh sb="0" eb="1">
      <t>シュウ</t>
    </rPh>
    <rPh sb="1" eb="7">
      <t>ショテイロウドウジカン</t>
    </rPh>
    <rPh sb="11" eb="13">
      <t>ジョウゲン</t>
    </rPh>
    <rPh sb="13" eb="15">
      <t>セッテイ</t>
    </rPh>
    <phoneticPr fontId="3"/>
  </si>
  <si>
    <t>　円</t>
    <rPh sb="1" eb="2">
      <t>エン</t>
    </rPh>
    <phoneticPr fontId="3"/>
  </si>
  <si>
    <t>住民税の壁</t>
    <rPh sb="0" eb="3">
      <t>ジュウミンゼイ</t>
    </rPh>
    <rPh sb="4" eb="5">
      <t>カベ</t>
    </rPh>
    <phoneticPr fontId="3"/>
  </si>
  <si>
    <t>所得税の壁</t>
    <rPh sb="0" eb="3">
      <t>ショトクゼイ</t>
    </rPh>
    <rPh sb="4" eb="5">
      <t>カベ</t>
    </rPh>
    <phoneticPr fontId="3"/>
  </si>
  <si>
    <t>国保・国年の壁</t>
    <rPh sb="0" eb="2">
      <t>コクホ</t>
    </rPh>
    <rPh sb="3" eb="5">
      <t>コクネン</t>
    </rPh>
    <rPh sb="6" eb="7">
      <t>カベ</t>
    </rPh>
    <phoneticPr fontId="3"/>
  </si>
  <si>
    <t>106万円以上</t>
    <rPh sb="3" eb="4">
      <t>マン</t>
    </rPh>
    <rPh sb="4" eb="5">
      <t>エン</t>
    </rPh>
    <rPh sb="5" eb="7">
      <t>イジョウ</t>
    </rPh>
    <phoneticPr fontId="3"/>
  </si>
  <si>
    <t>社会保険加入の壁 8.8万円/月</t>
    <rPh sb="0" eb="4">
      <t>シャカイホケン</t>
    </rPh>
    <rPh sb="4" eb="6">
      <t>カニュウ</t>
    </rPh>
    <rPh sb="7" eb="8">
      <t>カベ</t>
    </rPh>
    <rPh sb="12" eb="14">
      <t>マンエン</t>
    </rPh>
    <rPh sb="15" eb="16">
      <t>ツキ</t>
    </rPh>
    <phoneticPr fontId="3"/>
  </si>
  <si>
    <t>被用者区分</t>
    <rPh sb="0" eb="3">
      <t>ヒヨウシャ</t>
    </rPh>
    <rPh sb="3" eb="5">
      <t>クブン</t>
    </rPh>
    <phoneticPr fontId="3"/>
  </si>
  <si>
    <t>会社の社会保険に加入！</t>
    <rPh sb="8" eb="10">
      <t>カニュウ</t>
    </rPh>
    <phoneticPr fontId="3"/>
  </si>
  <si>
    <t>国保・国年に加入！</t>
    <phoneticPr fontId="3"/>
  </si>
  <si>
    <t>条件付き書式設定（Ｈ列）！</t>
    <rPh sb="10" eb="11">
      <t>レツ</t>
    </rPh>
    <phoneticPr fontId="3"/>
  </si>
  <si>
    <t>賃金の増額</t>
    <rPh sb="0" eb="2">
      <t>チンギン</t>
    </rPh>
    <rPh sb="3" eb="5">
      <t>ゾウガク</t>
    </rPh>
    <phoneticPr fontId="3"/>
  </si>
  <si>
    <t>未満</t>
    <rPh sb="0" eb="2">
      <t>ミマン</t>
    </rPh>
    <phoneticPr fontId="3"/>
  </si>
  <si>
    <t>社会保険適用促進手当（標準報酬月額に算入する！）</t>
    <rPh sb="0" eb="4">
      <t>シャカイホケン</t>
    </rPh>
    <rPh sb="4" eb="6">
      <t>テキヨウ</t>
    </rPh>
    <rPh sb="6" eb="8">
      <t>ソクシン</t>
    </rPh>
    <rPh sb="8" eb="10">
      <t>テアテ</t>
    </rPh>
    <phoneticPr fontId="3"/>
  </si>
  <si>
    <t>社会保険適用促進手当（標準報酬月額に算入しない！）</t>
    <rPh sb="0" eb="4">
      <t>シャカイホケン</t>
    </rPh>
    <rPh sb="4" eb="6">
      <t>テキヨウ</t>
    </rPh>
    <rPh sb="6" eb="8">
      <t>ソクシン</t>
    </rPh>
    <rPh sb="8" eb="10">
      <t>テアテ</t>
    </rPh>
    <phoneticPr fontId="3"/>
  </si>
  <si>
    <t>１ヵ月基本給与＋促進手当加算</t>
    <rPh sb="12" eb="14">
      <t>カサン</t>
    </rPh>
    <phoneticPr fontId="3"/>
  </si>
  <si>
    <t>社会保険適用促進手当適用</t>
    <rPh sb="10" eb="12">
      <t>テキヨウ</t>
    </rPh>
    <phoneticPr fontId="3"/>
  </si>
  <si>
    <t>週所定労働時間（39H上限設定）</t>
    <rPh sb="0" eb="1">
      <t>シュウ</t>
    </rPh>
    <rPh sb="1" eb="7">
      <t>ショテイロウドウジカン</t>
    </rPh>
    <rPh sb="11" eb="13">
      <t>ジョウゲン</t>
    </rPh>
    <rPh sb="13" eb="15">
      <t>セッテイ</t>
    </rPh>
    <phoneticPr fontId="3"/>
  </si>
  <si>
    <t>5１人未満以上の会社</t>
    <rPh sb="2" eb="3">
      <t>ニン</t>
    </rPh>
    <rPh sb="3" eb="5">
      <t>ミマン</t>
    </rPh>
    <rPh sb="5" eb="7">
      <t>イジョウ</t>
    </rPh>
    <rPh sb="8" eb="10">
      <t>カイシャ</t>
    </rPh>
    <phoneticPr fontId="3"/>
  </si>
  <si>
    <t>週所定労働時間</t>
    <phoneticPr fontId="3"/>
  </si>
  <si>
    <r>
      <t xml:space="preserve">■所定労働時間週2０時間＆
１ヵ月の基本給月収８.８万円以上
　⇒ </t>
    </r>
    <r>
      <rPr>
        <b/>
        <sz val="10"/>
        <color rgb="FF0000FF"/>
        <rFont val="ＭＳ Ｐゴシック"/>
        <family val="3"/>
        <charset val="128"/>
      </rPr>
      <t>会社の社会保険に加入！</t>
    </r>
    <rPh sb="14" eb="17">
      <t>イッカゲツ</t>
    </rPh>
    <rPh sb="18" eb="21">
      <t>キホンキュウ</t>
    </rPh>
    <rPh sb="21" eb="23">
      <t>ゲッシュウ</t>
    </rPh>
    <rPh sb="26" eb="28">
      <t>マンエン</t>
    </rPh>
    <rPh sb="28" eb="30">
      <t>イジョウ</t>
    </rPh>
    <rPh sb="42" eb="44">
      <t>カニュウ</t>
    </rPh>
    <phoneticPr fontId="3"/>
  </si>
  <si>
    <t>賃金の増額率</t>
    <rPh sb="0" eb="2">
      <t>チンギン</t>
    </rPh>
    <rPh sb="3" eb="6">
      <t>ゾウガクリツ</t>
    </rPh>
    <phoneticPr fontId="3"/>
  </si>
  <si>
    <t>増額後の時間給</t>
    <rPh sb="0" eb="3">
      <t>ゾウガクゴ</t>
    </rPh>
    <rPh sb="4" eb="7">
      <t>ジカンキュウ</t>
    </rPh>
    <phoneticPr fontId="3"/>
  </si>
  <si>
    <t>3-1手当等支給メニュー</t>
    <rPh sb="3" eb="5">
      <t>テアテ</t>
    </rPh>
    <rPh sb="5" eb="6">
      <t>トウ</t>
    </rPh>
    <rPh sb="6" eb="8">
      <t>シキュウ</t>
    </rPh>
    <phoneticPr fontId="3"/>
  </si>
  <si>
    <t>4-1労働時間延長メニュー</t>
    <rPh sb="3" eb="9">
      <t>ロウドウジカンエンチョウ</t>
    </rPh>
    <phoneticPr fontId="3"/>
  </si>
  <si>
    <t>5-1併用メニュー</t>
    <rPh sb="3" eb="5">
      <t>ヘイヨウ</t>
    </rPh>
    <phoneticPr fontId="3"/>
  </si>
  <si>
    <t>手当等支給メニュー</t>
    <rPh sb="0" eb="5">
      <t>テアテトウシキュウ</t>
    </rPh>
    <phoneticPr fontId="3"/>
  </si>
  <si>
    <t>労働時間延長メニュー</t>
    <rPh sb="0" eb="6">
      <t>ロウドウジカンエンチョウ</t>
    </rPh>
    <phoneticPr fontId="3"/>
  </si>
  <si>
    <t>併用メニュー</t>
    <rPh sb="0" eb="2">
      <t>ヘイヨウ</t>
    </rPh>
    <phoneticPr fontId="3"/>
  </si>
  <si>
    <t>★ 昇給後の時間給で年収＆手取り年収をシミュレーション
★ 被扶養130万円以上で国保・国保加入
★ 所定労働時間３０時間以上で会社の社会保険に加入</t>
    <rPh sb="2" eb="4">
      <t>ショウキュウ</t>
    </rPh>
    <rPh sb="4" eb="5">
      <t>ゴ</t>
    </rPh>
    <rPh sb="6" eb="9">
      <t>ジカンキュウ</t>
    </rPh>
    <rPh sb="30" eb="33">
      <t>ヒフヨウ</t>
    </rPh>
    <rPh sb="36" eb="38">
      <t>マンエン</t>
    </rPh>
    <rPh sb="38" eb="40">
      <t>イジョウ</t>
    </rPh>
    <rPh sb="41" eb="43">
      <t>コクホ</t>
    </rPh>
    <rPh sb="44" eb="46">
      <t>コクホ</t>
    </rPh>
    <rPh sb="46" eb="48">
      <t>カニュウ</t>
    </rPh>
    <rPh sb="51" eb="57">
      <t>ショテイロウドウジカン</t>
    </rPh>
    <rPh sb="59" eb="61">
      <t>ジカン</t>
    </rPh>
    <rPh sb="61" eb="63">
      <t>イジョウ</t>
    </rPh>
    <rPh sb="64" eb="66">
      <t>カイシャ</t>
    </rPh>
    <rPh sb="67" eb="71">
      <t>シャカイホケン</t>
    </rPh>
    <rPh sb="72" eb="74">
      <t>カニュウ</t>
    </rPh>
    <phoneticPr fontId="3"/>
  </si>
  <si>
    <t>★ 社会保険適用拡大後の事業所の社会保険加入後の年収＆手取り年収をシミュレーション
★ 社会保険促進手当支給メニューでシミュレーション</t>
    <rPh sb="4" eb="6">
      <t>シャカイ</t>
    </rPh>
    <rPh sb="6" eb="8">
      <t>ホケン</t>
    </rPh>
    <rPh sb="8" eb="10">
      <t>テキヨウ</t>
    </rPh>
    <rPh sb="10" eb="12">
      <t>カクダイ</t>
    </rPh>
    <rPh sb="12" eb="13">
      <t>ゴ</t>
    </rPh>
    <rPh sb="14" eb="17">
      <t>ジギョウショ</t>
    </rPh>
    <rPh sb="18" eb="20">
      <t>シャカイ</t>
    </rPh>
    <rPh sb="20" eb="22">
      <t>ホケン</t>
    </rPh>
    <rPh sb="22" eb="24">
      <t>カニュウ</t>
    </rPh>
    <rPh sb="24" eb="25">
      <t>ゴ</t>
    </rPh>
    <rPh sb="26" eb="28">
      <t>ネンシュウ</t>
    </rPh>
    <rPh sb="29" eb="31">
      <t>テド</t>
    </rPh>
    <rPh sb="32" eb="34">
      <t>ネンシュウ</t>
    </rPh>
    <phoneticPr fontId="3"/>
  </si>
  <si>
    <t>★ 社会保険適用拡大後の事業所の社会保険加入後の年収＆手取り年収をシミュレーション
★ １年目は社会保険適用促進手当支給した後、２年目は時間延長と時間給増でシミュレーション</t>
    <rPh sb="45" eb="47">
      <t>ネンメ</t>
    </rPh>
    <rPh sb="48" eb="52">
      <t>シャカイホケン</t>
    </rPh>
    <rPh sb="52" eb="58">
      <t>テキヨウソクシンテアテ</t>
    </rPh>
    <rPh sb="58" eb="60">
      <t>シキュウ</t>
    </rPh>
    <rPh sb="62" eb="63">
      <t>ノチ</t>
    </rPh>
    <rPh sb="65" eb="67">
      <t>ネンメ</t>
    </rPh>
    <rPh sb="68" eb="72">
      <t>ジカンエンチョウ</t>
    </rPh>
    <rPh sb="73" eb="76">
      <t>ジカンキュウ</t>
    </rPh>
    <rPh sb="76" eb="77">
      <t>ゾウ</t>
    </rPh>
    <phoneticPr fontId="3"/>
  </si>
  <si>
    <t>適用拡大の未適用</t>
    <rPh sb="0" eb="4">
      <t>テキヨウカクダイ</t>
    </rPh>
    <rPh sb="5" eb="8">
      <t>ミテキヨウ</t>
    </rPh>
    <phoneticPr fontId="3"/>
  </si>
  <si>
    <t>適用拡大の適用</t>
    <rPh sb="0" eb="4">
      <t>テキヨウカクダイ</t>
    </rPh>
    <rPh sb="5" eb="7">
      <t>テキヨウ</t>
    </rPh>
    <phoneticPr fontId="3"/>
  </si>
  <si>
    <t>★選択 「２」は、原則として扶養内、ただし年収130万円以上で扶養を外れ国保・国年に加入となる。
★週所定労働時間30時間以上で、勤務先の社会保険に加入します。</t>
    <rPh sb="50" eb="57">
      <t>シュウショテイロウドウジカン</t>
    </rPh>
    <rPh sb="59" eb="61">
      <t>ジカン</t>
    </rPh>
    <rPh sb="61" eb="63">
      <t>イジョウ</t>
    </rPh>
    <phoneticPr fontId="3"/>
  </si>
  <si>
    <t>社会保険適用促進手当率
手入力で変更可</t>
    <rPh sb="0" eb="10">
      <t>シャカイホケンテキヨウソクシンテアテ</t>
    </rPh>
    <rPh sb="10" eb="11">
      <t>リツ</t>
    </rPh>
    <rPh sb="12" eb="15">
      <t>テニュウリョク</t>
    </rPh>
    <rPh sb="16" eb="19">
      <t>ヘンコウカ</t>
    </rPh>
    <phoneticPr fontId="3"/>
  </si>
  <si>
    <r>
      <t xml:space="preserve">社会保険適用促進手当率
</t>
    </r>
    <r>
      <rPr>
        <b/>
        <u/>
        <sz val="12"/>
        <color rgb="FF000000"/>
        <rFont val="ＭＳ Ｐゴシック"/>
        <family val="3"/>
        <charset val="128"/>
      </rPr>
      <t>手入力で変更可</t>
    </r>
    <rPh sb="0" eb="10">
      <t>シャカイホケンテキヨウソクシンテアテ</t>
    </rPh>
    <rPh sb="10" eb="11">
      <t>リツ</t>
    </rPh>
    <rPh sb="12" eb="15">
      <t>テニュウリョク</t>
    </rPh>
    <rPh sb="16" eb="19">
      <t>ヘンコウカ</t>
    </rPh>
    <phoneticPr fontId="3"/>
  </si>
  <si>
    <t>キャリアアップ助成金（社会保険適用時処遇改善コース）活用シミュレーション</t>
    <phoneticPr fontId="3"/>
  </si>
  <si>
    <t>時間給の改訂と見込み年収のお知らせ（労働時間見直しのご提案と資料！）</t>
    <rPh sb="0" eb="3">
      <t>ジカンキュウ</t>
    </rPh>
    <rPh sb="4" eb="6">
      <t>カイテイ</t>
    </rPh>
    <rPh sb="7" eb="9">
      <t>ミコ</t>
    </rPh>
    <rPh sb="10" eb="12">
      <t>ネンシュウ</t>
    </rPh>
    <rPh sb="14" eb="15">
      <t>シ</t>
    </rPh>
    <phoneticPr fontId="3"/>
  </si>
  <si>
    <t>★ 「１」は、年収106万円（月収8.8万円）以上・週所定労働時間２０時間以上で勤務先の社会保険に加入にします。
★ 週所定労働時間２０時間未満は扶養内となる。
 　ただし年収130万円以上だと扶養を外れ国保・国年に加入となる。</t>
    <phoneticPr fontId="3"/>
  </si>
  <si>
    <t>※ ５０人以下の会社
（当面は社会保険適用拡大が未適用）</t>
    <rPh sb="4" eb="5">
      <t>ニン</t>
    </rPh>
    <rPh sb="5" eb="7">
      <t>イカ</t>
    </rPh>
    <rPh sb="8" eb="10">
      <t>カイシャ</t>
    </rPh>
    <rPh sb="12" eb="14">
      <t>トウメン</t>
    </rPh>
    <phoneticPr fontId="3"/>
  </si>
  <si>
    <t>※ ５１人以上１００人以下の会社（2024.10.1からの社会保険適用拡大が決まっている）</t>
    <rPh sb="4" eb="5">
      <t>ニン</t>
    </rPh>
    <rPh sb="5" eb="7">
      <t>イジョウ</t>
    </rPh>
    <rPh sb="10" eb="11">
      <t>ニン</t>
    </rPh>
    <rPh sb="11" eb="13">
      <t>イカ</t>
    </rPh>
    <rPh sb="14" eb="16">
      <t>カイシャ</t>
    </rPh>
    <rPh sb="38" eb="39">
      <t>キ</t>
    </rPh>
    <phoneticPr fontId="3"/>
  </si>
  <si>
    <t>※ １０１人以上の会社
（既に社会保険適用拡大が
適用されている）</t>
    <rPh sb="5" eb="6">
      <t>ニン</t>
    </rPh>
    <rPh sb="6" eb="8">
      <t>イジョウ</t>
    </rPh>
    <rPh sb="9" eb="11">
      <t>カイシャ</t>
    </rPh>
    <rPh sb="13" eb="14">
      <t>スデ</t>
    </rPh>
    <phoneticPr fontId="3"/>
  </si>
  <si>
    <t>★ ２ヵ月以上の雇用が見込まれる者</t>
    <rPh sb="4" eb="5">
      <t>ゲツ</t>
    </rPh>
    <rPh sb="16" eb="17">
      <t>モノ</t>
    </rPh>
    <phoneticPr fontId="3"/>
  </si>
  <si>
    <t>★ 賃金の月額が88,000円以上である者（いわゆる１０６万円の壁）</t>
    <rPh sb="20" eb="21">
      <t>モノ</t>
    </rPh>
    <rPh sb="29" eb="30">
      <t>マン</t>
    </rPh>
    <rPh sb="30" eb="31">
      <t>エン</t>
    </rPh>
    <rPh sb="32" eb="33">
      <t>カベ</t>
    </rPh>
    <phoneticPr fontId="3"/>
  </si>
  <si>
    <t>★ 学生でない者</t>
    <rPh sb="7" eb="8">
      <t>モノ</t>
    </rPh>
    <phoneticPr fontId="3"/>
  </si>
  <si>
    <t>標準報酬月額</t>
    <rPh sb="0" eb="6">
      <t>ヒョウジュンホウシュウゲツガク</t>
    </rPh>
    <phoneticPr fontId="3"/>
  </si>
  <si>
    <t>　従業員のみなさま、毎日のお仕事、お疲れさまです。
　さて標記の件、国の社会保険の適用拡大により、社会保険の加入基準が見直されます。
　そこで、加入基準の変更に併せて週所定労働時間を増やし、収入を増やすプランをご提案します。
　将来の年金にも増額して反映されます。　ご検討をお勧めします！　</t>
    <rPh sb="34" eb="35">
      <t>クニ</t>
    </rPh>
    <rPh sb="59" eb="61">
      <t>ミナオ</t>
    </rPh>
    <rPh sb="72" eb="76">
      <t>カニュウキジュン</t>
    </rPh>
    <rPh sb="77" eb="79">
      <t>ヘンコウ</t>
    </rPh>
    <rPh sb="80" eb="81">
      <t>アワ</t>
    </rPh>
    <phoneticPr fontId="3"/>
  </si>
  <si>
    <t>ＡＡ</t>
    <phoneticPr fontId="3"/>
  </si>
  <si>
    <t>ＡＢ</t>
    <phoneticPr fontId="3"/>
  </si>
  <si>
    <t>ＡＣ</t>
    <phoneticPr fontId="3"/>
  </si>
  <si>
    <t>ＡＤ</t>
    <phoneticPr fontId="3"/>
  </si>
  <si>
    <t>ＡＥ</t>
    <phoneticPr fontId="3"/>
  </si>
  <si>
    <t>延長労働時間</t>
    <rPh sb="0" eb="2">
      <t>エンチョウ</t>
    </rPh>
    <rPh sb="2" eb="6">
      <t>ロウドウジカン</t>
    </rPh>
    <phoneticPr fontId="3"/>
  </si>
  <si>
    <r>
      <t>社保料等
合計×12</t>
    </r>
    <r>
      <rPr>
        <b/>
        <sz val="12"/>
        <color theme="1"/>
        <rFont val="ＭＳ Ｐゴシック"/>
        <family val="3"/>
        <charset val="128"/>
      </rPr>
      <t>（年間）</t>
    </r>
    <rPh sb="0" eb="1">
      <t>シャ</t>
    </rPh>
    <rPh sb="1" eb="2">
      <t>タモツ</t>
    </rPh>
    <rPh sb="2" eb="3">
      <t>リョウ</t>
    </rPh>
    <rPh sb="3" eb="4">
      <t>ナド</t>
    </rPh>
    <rPh sb="5" eb="7">
      <t>ゴウケイ</t>
    </rPh>
    <rPh sb="11" eb="13">
      <t>ネンカン</t>
    </rPh>
    <phoneticPr fontId="3"/>
  </si>
  <si>
    <t>　従業員のみなさま、毎日のお仕事、お疲れさまです。
　さて標記の件、国の社会保険の適用拡大により、社会保険の加入基準が見直されます。
　そこで、加入基準の変更に併せて週所定労働時間を増やし、収入を増やすプランをご提案します。　将来の年金にも増額して反映されます。　ご検討をお勧めします！　</t>
    <rPh sb="34" eb="35">
      <t>クニ</t>
    </rPh>
    <rPh sb="59" eb="61">
      <t>ミナオ</t>
    </rPh>
    <rPh sb="72" eb="76">
      <t>カニュウキジュン</t>
    </rPh>
    <rPh sb="77" eb="79">
      <t>ヘンコウ</t>
    </rPh>
    <rPh sb="80" eb="81">
      <t>アワ</t>
    </rPh>
    <phoneticPr fontId="3"/>
  </si>
  <si>
    <t>【社会保険促進手当の算出と手取り年収のシミュレーション】</t>
    <rPh sb="1" eb="7">
      <t>シャカイホケンソクシン</t>
    </rPh>
    <rPh sb="7" eb="9">
      <t>テアテ</t>
    </rPh>
    <rPh sb="10" eb="12">
      <t>サンシュツ</t>
    </rPh>
    <rPh sb="13" eb="15">
      <t>テド</t>
    </rPh>
    <rPh sb="16" eb="18">
      <t>ネンシュウ</t>
    </rPh>
    <phoneticPr fontId="3"/>
  </si>
  <si>
    <t>４-１．手当等支給メニュー</t>
    <rPh sb="4" eb="9">
      <t>テアテトウシキュウ</t>
    </rPh>
    <phoneticPr fontId="3"/>
  </si>
  <si>
    <t>４-２．手当等支給メニューお知らせ！</t>
    <rPh sb="4" eb="9">
      <t>テアテトウシキュウ</t>
    </rPh>
    <rPh sb="14" eb="15">
      <t>シ</t>
    </rPh>
    <phoneticPr fontId="3"/>
  </si>
  <si>
    <t>５-１．併用メニュー（２年目）</t>
    <rPh sb="4" eb="6">
      <t>ヘイヨウ</t>
    </rPh>
    <rPh sb="12" eb="14">
      <t>ネンメ</t>
    </rPh>
    <phoneticPr fontId="3"/>
  </si>
  <si>
    <t>４-０．設定</t>
    <rPh sb="4" eb="6">
      <t>セッテイ</t>
    </rPh>
    <phoneticPr fontId="3"/>
  </si>
  <si>
    <t>３-２．所得算出参照表</t>
    <rPh sb="4" eb="6">
      <t>ショトク</t>
    </rPh>
    <rPh sb="6" eb="8">
      <t>サンシュツ</t>
    </rPh>
    <rPh sb="8" eb="10">
      <t>サンショウ</t>
    </rPh>
    <rPh sb="10" eb="11">
      <t>ヒョウ</t>
    </rPh>
    <phoneticPr fontId="3"/>
  </si>
  <si>
    <t>４-２．参照シート２</t>
    <rPh sb="4" eb="6">
      <t>サンショウ</t>
    </rPh>
    <phoneticPr fontId="3"/>
  </si>
  <si>
    <t>６．使用上の注意</t>
    <rPh sb="2" eb="5">
      <t>シヨウジョウ</t>
    </rPh>
    <rPh sb="6" eb="8">
      <t>チュウイ</t>
    </rPh>
    <phoneticPr fontId="3"/>
  </si>
  <si>
    <t>４-１．参照シート１</t>
    <rPh sb="4" eb="6">
      <t>サンショウ</t>
    </rPh>
    <phoneticPr fontId="3"/>
  </si>
  <si>
    <t>３-１．標準報酬月額・保険料表</t>
    <rPh sb="4" eb="6">
      <t>ヒョウジュン</t>
    </rPh>
    <rPh sb="6" eb="8">
      <t>ホウシュウ</t>
    </rPh>
    <rPh sb="8" eb="9">
      <t>ツキ</t>
    </rPh>
    <rPh sb="9" eb="10">
      <t>ガク</t>
    </rPh>
    <rPh sb="11" eb="14">
      <t>ホケンリョウ</t>
    </rPh>
    <rPh sb="14" eb="15">
      <t>ヒョウ</t>
    </rPh>
    <phoneticPr fontId="3"/>
  </si>
  <si>
    <t>★ 社会保険適用拡大後の事業所の社会保険加入後の年収＆手取り年収をシミュレーション
★ 労働時間延長メニューでシミュレーション</t>
    <rPh sb="4" eb="6">
      <t>シャカイ</t>
    </rPh>
    <rPh sb="6" eb="8">
      <t>ホケン</t>
    </rPh>
    <rPh sb="8" eb="10">
      <t>テキヨウ</t>
    </rPh>
    <rPh sb="10" eb="12">
      <t>カクダイ</t>
    </rPh>
    <rPh sb="12" eb="13">
      <t>ゴ</t>
    </rPh>
    <rPh sb="14" eb="17">
      <t>ジギョウショ</t>
    </rPh>
    <rPh sb="18" eb="20">
      <t>シャカイ</t>
    </rPh>
    <rPh sb="20" eb="22">
      <t>ホケン</t>
    </rPh>
    <rPh sb="22" eb="24">
      <t>カニュウ</t>
    </rPh>
    <rPh sb="24" eb="25">
      <t>ゴ</t>
    </rPh>
    <rPh sb="26" eb="28">
      <t>ネンシュウ</t>
    </rPh>
    <rPh sb="29" eb="31">
      <t>テド</t>
    </rPh>
    <rPh sb="32" eb="34">
      <t>ネンシュウ</t>
    </rPh>
    <rPh sb="44" eb="50">
      <t>ロウドウジカンエンチョウ</t>
    </rPh>
    <phoneticPr fontId="3"/>
  </si>
  <si>
    <t>図：厚生労働省ホームページ資料より抜粋</t>
    <rPh sb="0" eb="1">
      <t>ズ</t>
    </rPh>
    <rPh sb="2" eb="7">
      <t>コウセイロウドウショウ</t>
    </rPh>
    <rPh sb="13" eb="15">
      <t>シリョウ</t>
    </rPh>
    <rPh sb="17" eb="19">
      <t>バッスイ</t>
    </rPh>
    <phoneticPr fontId="3"/>
  </si>
  <si>
    <t>　　循環参照回避のためのシードです！</t>
    <rPh sb="2" eb="6">
      <t>ジュンカンサンショウ</t>
    </rPh>
    <rPh sb="6" eb="8">
      <t>カイヒ</t>
    </rPh>
    <phoneticPr fontId="3"/>
  </si>
  <si>
    <t>　　必ずお読みください！</t>
    <rPh sb="2" eb="3">
      <t>カナラ</t>
    </rPh>
    <rPh sb="5" eb="6">
      <t>ヨ</t>
    </rPh>
    <phoneticPr fontId="3"/>
  </si>
  <si>
    <t>４．法改正に注意下さい</t>
    <rPh sb="2" eb="5">
      <t>ホウカイセイ</t>
    </rPh>
    <rPh sb="6" eb="8">
      <t>チュウイ</t>
    </rPh>
    <rPh sb="8" eb="9">
      <t>クダ</t>
    </rPh>
    <phoneticPr fontId="3"/>
  </si>
  <si>
    <t>　助成金の申請に際しては、申請内容が適正であることを、窓口にてご確認される</t>
    <rPh sb="1" eb="4">
      <t>ジョセイキン</t>
    </rPh>
    <rPh sb="5" eb="7">
      <t>シンセイ</t>
    </rPh>
    <rPh sb="8" eb="9">
      <t>サイ</t>
    </rPh>
    <rPh sb="13" eb="17">
      <t>シンセイナイヨウ</t>
    </rPh>
    <rPh sb="18" eb="20">
      <t>テキセイ</t>
    </rPh>
    <rPh sb="27" eb="29">
      <t>マドグチ</t>
    </rPh>
    <rPh sb="32" eb="34">
      <t>カクニン</t>
    </rPh>
    <phoneticPr fontId="3"/>
  </si>
  <si>
    <t>ことをお勧め致します。</t>
    <rPh sb="4" eb="5">
      <t>スス</t>
    </rPh>
    <rPh sb="6" eb="7">
      <t>イタ</t>
    </rPh>
    <phoneticPr fontId="3"/>
  </si>
  <si>
    <r>
      <t>　　</t>
    </r>
    <r>
      <rPr>
        <b/>
        <sz val="12"/>
        <color rgb="FF0000FF"/>
        <rFont val="ＭＳ Ｐゴシック"/>
        <family val="3"/>
        <charset val="128"/>
      </rPr>
      <t>時間給、、昇給案、諸手当等、</t>
    </r>
    <r>
      <rPr>
        <b/>
        <sz val="12"/>
        <color theme="1"/>
        <rFont val="ＭＳ Ｐゴシック"/>
        <family val="3"/>
        <charset val="128"/>
      </rPr>
      <t>現行の社員データを入力します（必須）。</t>
    </r>
    <rPh sb="2" eb="5">
      <t>ジカンキュウ</t>
    </rPh>
    <rPh sb="7" eb="10">
      <t>ショウキュウアン</t>
    </rPh>
    <rPh sb="11" eb="14">
      <t>ショテアテ</t>
    </rPh>
    <rPh sb="14" eb="15">
      <t>トウ</t>
    </rPh>
    <rPh sb="31" eb="33">
      <t>ヒッス</t>
    </rPh>
    <phoneticPr fontId="3"/>
  </si>
  <si>
    <t>■ 会社に適用される保険料を入力してください！</t>
    <rPh sb="2" eb="4">
      <t>カイシャ</t>
    </rPh>
    <rPh sb="5" eb="7">
      <t>テキヨウ</t>
    </rPh>
    <rPh sb="10" eb="13">
      <t>ホケンリョウ</t>
    </rPh>
    <rPh sb="14" eb="16">
      <t>ニュウリョク</t>
    </rPh>
    <phoneticPr fontId="3"/>
  </si>
  <si>
    <t>５-２．併用メニューお知らせ！（２年目）</t>
    <rPh sb="4" eb="6">
      <t>ヘイヨウ</t>
    </rPh>
    <rPh sb="11" eb="12">
      <t>シ</t>
    </rPh>
    <rPh sb="17" eb="19">
      <t>ネンメ</t>
    </rPh>
    <phoneticPr fontId="3"/>
  </si>
  <si>
    <t>【所定労働時間の延長及び時間給改訂と手取り年収のシミュレーション】</t>
    <rPh sb="1" eb="7">
      <t>ショテイロウドウジカン</t>
    </rPh>
    <rPh sb="8" eb="10">
      <t>エンチョウ</t>
    </rPh>
    <rPh sb="10" eb="11">
      <t>オヨ</t>
    </rPh>
    <rPh sb="12" eb="15">
      <t>ジカンキュウ</t>
    </rPh>
    <rPh sb="15" eb="17">
      <t>カイテイ</t>
    </rPh>
    <rPh sb="18" eb="20">
      <t>テド</t>
    </rPh>
    <rPh sb="21" eb="23">
      <t>ネンシュウ</t>
    </rPh>
    <phoneticPr fontId="3"/>
  </si>
  <si>
    <t>社会保険適用促進手当の支給および労働時間の延長のご提案とお知らせ</t>
    <rPh sb="0" eb="2">
      <t>シャカイ</t>
    </rPh>
    <rPh sb="2" eb="4">
      <t>ホケン</t>
    </rPh>
    <rPh sb="4" eb="6">
      <t>テキヨウ</t>
    </rPh>
    <rPh sb="6" eb="8">
      <t>ソクシン</t>
    </rPh>
    <rPh sb="8" eb="10">
      <t>テアテ</t>
    </rPh>
    <rPh sb="11" eb="13">
      <t>シキュウ</t>
    </rPh>
    <rPh sb="16" eb="18">
      <t>ロウドウ</t>
    </rPh>
    <rPh sb="18" eb="20">
      <t>ジカン</t>
    </rPh>
    <rPh sb="21" eb="23">
      <t>エンチョウ</t>
    </rPh>
    <rPh sb="25" eb="27">
      <t>テイアン</t>
    </rPh>
    <rPh sb="29" eb="30">
      <t>シ</t>
    </rPh>
    <phoneticPr fontId="3"/>
  </si>
  <si>
    <t>　　【社会保険適用促進手当の支給および労働時間の延長のご提案とお知らせ】　提案資料</t>
    <rPh sb="3" eb="5">
      <t>シャカイ</t>
    </rPh>
    <rPh sb="5" eb="7">
      <t>ホケン</t>
    </rPh>
    <rPh sb="7" eb="9">
      <t>テキヨウ</t>
    </rPh>
    <rPh sb="9" eb="11">
      <t>ソクシン</t>
    </rPh>
    <rPh sb="11" eb="13">
      <t>テアテ</t>
    </rPh>
    <rPh sb="14" eb="16">
      <t>シキュウ</t>
    </rPh>
    <rPh sb="19" eb="23">
      <t>ロウドウジカン</t>
    </rPh>
    <rPh sb="24" eb="26">
      <t>エンチョウ</t>
    </rPh>
    <rPh sb="28" eb="30">
      <t>テイアン</t>
    </rPh>
    <rPh sb="32" eb="33">
      <t>シ</t>
    </rPh>
    <rPh sb="37" eb="41">
      <t>テイアンシリョウ</t>
    </rPh>
    <phoneticPr fontId="3"/>
  </si>
  <si>
    <t>　　　「時間給改訂および労働時間の延長と手取り（見込み）年収のお知らせ！」　　提案資料</t>
    <rPh sb="12" eb="16">
      <t>ロウドウジカン</t>
    </rPh>
    <rPh sb="17" eb="19">
      <t>エンチョウ</t>
    </rPh>
    <rPh sb="39" eb="41">
      <t>テイアン</t>
    </rPh>
    <phoneticPr fontId="3"/>
  </si>
  <si>
    <t>（注）「新契約でご提案する給与の詳細です！」の指標は、適宜個別に移動してご提案して下さい！</t>
    <rPh sb="1" eb="2">
      <t>チュウ</t>
    </rPh>
    <rPh sb="4" eb="7">
      <t>シンケイヤク</t>
    </rPh>
    <rPh sb="9" eb="11">
      <t>テイアン</t>
    </rPh>
    <rPh sb="13" eb="15">
      <t>キュウヨ</t>
    </rPh>
    <rPh sb="16" eb="18">
      <t>ショウサイ</t>
    </rPh>
    <rPh sb="23" eb="25">
      <t>シヒョウ</t>
    </rPh>
    <phoneticPr fontId="3"/>
  </si>
  <si>
    <t>※ 併用メニューでは使用しません！</t>
    <rPh sb="2" eb="4">
      <t>ヘイヨウ</t>
    </rPh>
    <rPh sb="10" eb="12">
      <t>シヨウ</t>
    </rPh>
    <phoneticPr fontId="3"/>
  </si>
  <si>
    <r>
      <rPr>
        <b/>
        <sz val="14"/>
        <color rgb="FF0000CC"/>
        <rFont val="ＭＳ Ｐゴシック"/>
        <family val="3"/>
        <charset val="128"/>
      </rPr>
      <t>　　右図：</t>
    </r>
    <r>
      <rPr>
        <b/>
        <u/>
        <sz val="14"/>
        <color rgb="FF0000CC"/>
        <rFont val="ＭＳ Ｐゴシック"/>
        <family val="3"/>
        <charset val="128"/>
      </rPr>
      <t>【短時間労働者に対する健康保険 ・厚生年金保険の適用拡大</t>
    </r>
    <rPh sb="2" eb="4">
      <t>ミギズ</t>
    </rPh>
    <rPh sb="6" eb="7">
      <t>タン</t>
    </rPh>
    <rPh sb="7" eb="9">
      <t>ジカン</t>
    </rPh>
    <rPh sb="9" eb="12">
      <t>ロウドウシャ</t>
    </rPh>
    <rPh sb="13" eb="14">
      <t>タイ</t>
    </rPh>
    <rPh sb="16" eb="18">
      <t>ケンコウ</t>
    </rPh>
    <rPh sb="18" eb="20">
      <t>ホケン</t>
    </rPh>
    <rPh sb="22" eb="24">
      <t>コウセイ</t>
    </rPh>
    <rPh sb="24" eb="26">
      <t>ネンキン</t>
    </rPh>
    <rPh sb="26" eb="28">
      <t>ホケン</t>
    </rPh>
    <rPh sb="29" eb="31">
      <t>テキヨウ</t>
    </rPh>
    <rPh sb="31" eb="33">
      <t>カクダイ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</si>
</sst>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
    <numFmt numFmtId="177" formatCode="0.000%"/>
    <numFmt numFmtId="178" formatCode="#,##0_ "/>
    <numFmt numFmtId="179" formatCode="0.0_);[Red]\(0.0\)"/>
    <numFmt numFmtId="180" formatCode="[$-411]ggge&quot;年&quot;m&quot;月&quot;d&quot;日&quot;;@"/>
    <numFmt numFmtId="181" formatCode="[$-411]gee\.mm\.dd;@"/>
    <numFmt numFmtId="182" formatCode="#,##0.0;[Red]\-#,##0.0"/>
    <numFmt numFmtId="183" formatCode="[$-411]gee\.mm\.dd"/>
    <numFmt numFmtId="184" formatCode="#,##0&quot;円&quot;"/>
    <numFmt numFmtId="185" formatCode="0.000_ "/>
    <numFmt numFmtId="186" formatCode="0.0000"/>
    <numFmt numFmtId="187" formatCode="0_ "/>
  </numFmts>
  <fonts count="134" x14ac:knownFonts="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b/>
      <sz val="16"/>
      <name val="ＭＳ Ｐゴシック"/>
      <family val="3"/>
      <charset val="128"/>
    </font>
    <font>
      <b/>
      <sz val="11"/>
      <name val="ＭＳ Ｐゴシック"/>
      <family val="3"/>
      <charset val="128"/>
    </font>
    <font>
      <sz val="9"/>
      <name val="ＭＳ Ｐゴシック"/>
      <family val="3"/>
      <charset val="128"/>
    </font>
    <font>
      <sz val="11"/>
      <name val="ＭＳ ゴシック"/>
      <family val="3"/>
      <charset val="128"/>
    </font>
    <font>
      <sz val="10"/>
      <name val="ＭＳ Ｐゴシック"/>
      <family val="3"/>
      <charset val="128"/>
    </font>
    <font>
      <u/>
      <sz val="12"/>
      <name val="ＭＳ Ｐゴシック"/>
      <family val="3"/>
      <charset val="128"/>
    </font>
    <font>
      <sz val="11"/>
      <color indexed="8"/>
      <name val="ＭＳ Ｐゴシック"/>
      <family val="3"/>
      <charset val="128"/>
    </font>
    <font>
      <b/>
      <sz val="11"/>
      <color indexed="12"/>
      <name val="ＭＳ Ｐゴシック"/>
      <family val="3"/>
      <charset val="128"/>
    </font>
    <font>
      <b/>
      <sz val="11"/>
      <color indexed="8"/>
      <name val="ＭＳ Ｐゴシック"/>
      <family val="3"/>
      <charset val="128"/>
    </font>
    <font>
      <sz val="12"/>
      <color indexed="8"/>
      <name val="ＭＳ Ｐゴシック"/>
      <family val="3"/>
      <charset val="128"/>
    </font>
    <font>
      <sz val="12"/>
      <name val="ＭＳ Ｐゴシック"/>
      <family val="3"/>
      <charset val="128"/>
    </font>
    <font>
      <u/>
      <sz val="11"/>
      <name val="ＭＳ Ｐゴシック"/>
      <family val="3"/>
      <charset val="128"/>
    </font>
    <font>
      <b/>
      <u/>
      <sz val="12"/>
      <name val="ＭＳ Ｐゴシック"/>
      <family val="3"/>
      <charset val="128"/>
    </font>
    <font>
      <b/>
      <u/>
      <sz val="12"/>
      <color indexed="10"/>
      <name val="ＭＳ Ｐゴシック"/>
      <family val="3"/>
      <charset val="128"/>
    </font>
    <font>
      <b/>
      <sz val="12"/>
      <color rgb="FF0000CC"/>
      <name val="ＭＳ Ｐゴシック"/>
      <family val="3"/>
      <charset val="128"/>
    </font>
    <font>
      <sz val="11"/>
      <color theme="1"/>
      <name val="ＭＳ Ｐゴシック"/>
      <family val="3"/>
      <charset val="128"/>
    </font>
    <font>
      <b/>
      <sz val="12"/>
      <color theme="1"/>
      <name val="ＭＳ Ｐゴシック"/>
      <family val="3"/>
      <charset val="128"/>
    </font>
    <font>
      <sz val="10"/>
      <color theme="1"/>
      <name val="ＭＳ Ｐゴシック"/>
      <family val="3"/>
      <charset val="128"/>
    </font>
    <font>
      <b/>
      <u/>
      <sz val="12"/>
      <color rgb="FF0000CC"/>
      <name val="ＭＳ Ｐゴシック"/>
      <family val="3"/>
      <charset val="128"/>
    </font>
    <font>
      <b/>
      <sz val="12"/>
      <color indexed="8"/>
      <name val="ＭＳ Ｐゴシック"/>
      <family val="3"/>
      <charset val="128"/>
    </font>
    <font>
      <b/>
      <sz val="12"/>
      <name val="ＭＳ Ｐゴシック"/>
      <family val="3"/>
      <charset val="128"/>
    </font>
    <font>
      <b/>
      <sz val="14"/>
      <color rgb="FF0000CC"/>
      <name val="ＭＳ Ｐゴシック"/>
      <family val="3"/>
      <charset val="128"/>
    </font>
    <font>
      <b/>
      <sz val="16"/>
      <color rgb="FF0000CC"/>
      <name val="ＭＳ Ｐゴシック"/>
      <family val="3"/>
      <charset val="128"/>
    </font>
    <font>
      <b/>
      <sz val="11"/>
      <color rgb="FFFF0000"/>
      <name val="Arial"/>
      <family val="2"/>
    </font>
    <font>
      <b/>
      <sz val="11"/>
      <color theme="1"/>
      <name val="ＭＳ Ｐゴシック"/>
      <family val="3"/>
      <charset val="128"/>
    </font>
    <font>
      <b/>
      <u/>
      <sz val="11"/>
      <color theme="1"/>
      <name val="ＭＳ Ｐゴシック"/>
      <family val="3"/>
      <charset val="128"/>
    </font>
    <font>
      <u/>
      <sz val="11"/>
      <color theme="10"/>
      <name val="ＭＳ Ｐゴシック"/>
      <family val="3"/>
      <charset val="128"/>
    </font>
    <font>
      <sz val="14"/>
      <name val="ＭＳ ゴシック"/>
      <family val="3"/>
      <charset val="128"/>
    </font>
    <font>
      <b/>
      <sz val="11"/>
      <name val="ＭＳ ゴシック"/>
      <family val="3"/>
      <charset val="128"/>
    </font>
    <font>
      <b/>
      <sz val="12"/>
      <color indexed="12"/>
      <name val="ＭＳ ゴシック"/>
      <family val="3"/>
      <charset val="128"/>
    </font>
    <font>
      <b/>
      <sz val="11"/>
      <color indexed="12"/>
      <name val="ＭＳ ゴシック"/>
      <family val="3"/>
      <charset val="128"/>
    </font>
    <font>
      <b/>
      <u/>
      <sz val="11"/>
      <color rgb="FFFF0000"/>
      <name val="ＭＳ Ｐゴシック"/>
      <family val="3"/>
      <charset val="128"/>
    </font>
    <font>
      <b/>
      <u/>
      <sz val="11"/>
      <color rgb="FFFF0000"/>
      <name val="ＭＳ ゴシック"/>
      <family val="3"/>
      <charset val="128"/>
    </font>
    <font>
      <b/>
      <sz val="14"/>
      <color theme="1"/>
      <name val="ＭＳ Ｐゴシック"/>
      <family val="3"/>
      <charset val="128"/>
    </font>
    <font>
      <b/>
      <sz val="14"/>
      <color indexed="8"/>
      <name val="ＭＳ Ｐゴシック"/>
      <family val="3"/>
      <charset val="128"/>
    </font>
    <font>
      <b/>
      <u/>
      <sz val="14"/>
      <color rgb="FFFF0000"/>
      <name val="ＭＳ Ｐゴシック"/>
      <family val="3"/>
      <charset val="128"/>
    </font>
    <font>
      <b/>
      <u/>
      <sz val="11"/>
      <name val="ＭＳ Ｐゴシック"/>
      <family val="3"/>
      <charset val="128"/>
    </font>
    <font>
      <b/>
      <u/>
      <sz val="14"/>
      <color rgb="FF0000CC"/>
      <name val="ＭＳ Ｐゴシック"/>
      <family val="3"/>
      <charset val="128"/>
    </font>
    <font>
      <b/>
      <sz val="14"/>
      <name val="ＭＳ Ｐゴシック"/>
      <family val="3"/>
      <charset val="128"/>
    </font>
    <font>
      <b/>
      <u/>
      <sz val="10"/>
      <name val="ＭＳ Ｐゴシック"/>
      <family val="3"/>
      <charset val="128"/>
    </font>
    <font>
      <u/>
      <sz val="18"/>
      <color rgb="FF0000CC"/>
      <name val="ＭＳ Ｐゴシック"/>
      <family val="3"/>
      <charset val="128"/>
    </font>
    <font>
      <sz val="12"/>
      <color theme="1"/>
      <name val="ＭＳ Ｐゴシック"/>
      <family val="3"/>
      <charset val="128"/>
    </font>
    <font>
      <b/>
      <sz val="16"/>
      <color theme="1"/>
      <name val="ＭＳ Ｐゴシック"/>
      <family val="3"/>
      <charset val="128"/>
    </font>
    <font>
      <sz val="14"/>
      <name val="ＭＳ Ｐゴシック"/>
      <family val="3"/>
      <charset val="128"/>
    </font>
    <font>
      <sz val="16"/>
      <name val="ＭＳ Ｐゴシック"/>
      <family val="3"/>
      <charset val="128"/>
    </font>
    <font>
      <b/>
      <u/>
      <sz val="14"/>
      <name val="ＭＳ Ｐゴシック"/>
      <family val="3"/>
      <charset val="128"/>
    </font>
    <font>
      <b/>
      <u/>
      <sz val="14"/>
      <color theme="10"/>
      <name val="ＭＳ Ｐゴシック"/>
      <family val="3"/>
      <charset val="128"/>
    </font>
    <font>
      <sz val="18"/>
      <name val="ＭＳ Ｐゴシック"/>
      <family val="3"/>
      <charset val="128"/>
    </font>
    <font>
      <sz val="18"/>
      <color rgb="FF0000CC"/>
      <name val="ＭＳ Ｐゴシック"/>
      <family val="3"/>
      <charset val="128"/>
    </font>
    <font>
      <b/>
      <sz val="16"/>
      <color indexed="12"/>
      <name val="ＭＳ Ｐゴシック"/>
      <family val="3"/>
      <charset val="128"/>
    </font>
    <font>
      <b/>
      <u/>
      <sz val="14"/>
      <color theme="1"/>
      <name val="ＭＳ Ｐゴシック"/>
      <family val="3"/>
      <charset val="128"/>
    </font>
    <font>
      <b/>
      <u/>
      <sz val="24"/>
      <color indexed="12"/>
      <name val="ＭＳ Ｐゴシック"/>
      <family val="3"/>
      <charset val="128"/>
    </font>
    <font>
      <u/>
      <sz val="18"/>
      <color theme="1"/>
      <name val="ＭＳ Ｐゴシック"/>
      <family val="3"/>
      <charset val="128"/>
    </font>
    <font>
      <b/>
      <sz val="12"/>
      <color rgb="FF0000FF"/>
      <name val="ＭＳ Ｐゴシック"/>
      <family val="3"/>
      <charset val="128"/>
    </font>
    <font>
      <b/>
      <sz val="16"/>
      <color rgb="FF0000FF"/>
      <name val="ＭＳ Ｐゴシック"/>
      <family val="3"/>
      <charset val="128"/>
    </font>
    <font>
      <b/>
      <sz val="14"/>
      <color theme="1"/>
      <name val="HGｺﾞｼｯｸE"/>
      <family val="3"/>
      <charset val="128"/>
    </font>
    <font>
      <b/>
      <sz val="14"/>
      <color rgb="FF0000FF"/>
      <name val="ＭＳ Ｐゴシック"/>
      <family val="3"/>
      <charset val="128"/>
    </font>
    <font>
      <sz val="12"/>
      <color theme="1"/>
      <name val="HGｺﾞｼｯｸE"/>
      <family val="3"/>
      <charset val="128"/>
    </font>
    <font>
      <b/>
      <u/>
      <sz val="14"/>
      <color indexed="12"/>
      <name val="ＭＳ Ｐゴシック"/>
      <family val="3"/>
      <charset val="128"/>
    </font>
    <font>
      <b/>
      <u/>
      <sz val="18"/>
      <color rgb="FF0000FF"/>
      <name val="ＭＳ Ｐゴシック"/>
      <family val="3"/>
      <charset val="128"/>
    </font>
    <font>
      <b/>
      <sz val="10"/>
      <color indexed="12"/>
      <name val="ＭＳ ゴシック"/>
      <family val="3"/>
      <charset val="128"/>
    </font>
    <font>
      <b/>
      <sz val="10"/>
      <name val="ＭＳ ゴシック"/>
      <family val="3"/>
      <charset val="128"/>
    </font>
    <font>
      <b/>
      <u/>
      <sz val="18"/>
      <color rgb="FF0000CC"/>
      <name val="ＭＳ ゴシック"/>
      <family val="3"/>
      <charset val="128"/>
    </font>
    <font>
      <b/>
      <u/>
      <sz val="11"/>
      <name val="ＭＳ ゴシック"/>
      <family val="3"/>
      <charset val="128"/>
    </font>
    <font>
      <b/>
      <u/>
      <sz val="12"/>
      <name val="ＭＳ ゴシック"/>
      <family val="3"/>
      <charset val="128"/>
    </font>
    <font>
      <b/>
      <sz val="11"/>
      <color indexed="10"/>
      <name val="ＭＳ ゴシック"/>
      <family val="3"/>
      <charset val="128"/>
    </font>
    <font>
      <b/>
      <sz val="11"/>
      <color theme="1"/>
      <name val="ＭＳ ゴシック"/>
      <family val="3"/>
      <charset val="128"/>
    </font>
    <font>
      <b/>
      <sz val="12"/>
      <name val="ＭＳ ゴシック"/>
      <family val="3"/>
      <charset val="128"/>
    </font>
    <font>
      <sz val="9"/>
      <color theme="0" tint="-0.34998626667073579"/>
      <name val="ＭＳ ゴシック"/>
      <family val="3"/>
      <charset val="128"/>
    </font>
    <font>
      <b/>
      <u/>
      <sz val="12"/>
      <color rgb="FF0000CC"/>
      <name val="ＭＳ ゴシック"/>
      <family val="3"/>
      <charset val="128"/>
    </font>
    <font>
      <b/>
      <sz val="18"/>
      <color rgb="FFFF0000"/>
      <name val="ＭＳ ゴシック"/>
      <family val="3"/>
      <charset val="128"/>
    </font>
    <font>
      <b/>
      <sz val="12"/>
      <color rgb="FFFF0000"/>
      <name val="ＭＳ ゴシック"/>
      <family val="3"/>
      <charset val="128"/>
    </font>
    <font>
      <b/>
      <sz val="11"/>
      <color rgb="FFFF0000"/>
      <name val="ＭＳ ゴシック"/>
      <family val="3"/>
      <charset val="128"/>
    </font>
    <font>
      <u/>
      <sz val="12"/>
      <color rgb="FFFF0000"/>
      <name val="ＭＳ Ｐゴシック"/>
      <family val="3"/>
      <charset val="128"/>
    </font>
    <font>
      <b/>
      <u/>
      <sz val="11"/>
      <color rgb="FF0000FF"/>
      <name val="ＭＳ Ｐゴシック"/>
      <family val="3"/>
      <charset val="128"/>
    </font>
    <font>
      <b/>
      <sz val="12"/>
      <color rgb="FF0000FF"/>
      <name val="ＭＳ ゴシック"/>
      <family val="3"/>
      <charset val="128"/>
    </font>
    <font>
      <b/>
      <u/>
      <sz val="11"/>
      <color rgb="FF0000FF"/>
      <name val="ＭＳ ゴシック"/>
      <family val="3"/>
      <charset val="128"/>
    </font>
    <font>
      <b/>
      <u/>
      <sz val="12"/>
      <color rgb="FFFF0000"/>
      <name val="ＭＳ Ｐゴシック"/>
      <family val="3"/>
      <charset val="128"/>
    </font>
    <font>
      <b/>
      <u/>
      <sz val="16"/>
      <color theme="1"/>
      <name val="ＭＳ Ｐゴシック"/>
      <family val="3"/>
      <charset val="128"/>
      <scheme val="minor"/>
    </font>
    <font>
      <sz val="6"/>
      <name val="ＭＳ Ｐゴシック"/>
      <family val="2"/>
      <charset val="128"/>
      <scheme val="minor"/>
    </font>
    <font>
      <b/>
      <u/>
      <sz val="14"/>
      <color rgb="FF0000CC"/>
      <name val="ＭＳ Ｐゴシック"/>
      <family val="3"/>
      <charset val="128"/>
      <scheme val="minor"/>
    </font>
    <font>
      <b/>
      <sz val="11"/>
      <color theme="1"/>
      <name val="ＭＳ Ｐゴシック"/>
      <family val="3"/>
      <charset val="128"/>
      <scheme val="minor"/>
    </font>
    <font>
      <b/>
      <sz val="11"/>
      <color rgb="FFFF0000"/>
      <name val="ＭＳ Ｐゴシック"/>
      <family val="3"/>
      <charset val="128"/>
      <scheme val="minor"/>
    </font>
    <font>
      <u/>
      <sz val="16"/>
      <name val="ＭＳ Ｐゴシック"/>
      <family val="3"/>
      <charset val="128"/>
    </font>
    <font>
      <b/>
      <u/>
      <sz val="14"/>
      <color theme="0"/>
      <name val="ＭＳ Ｐゴシック"/>
      <family val="3"/>
      <charset val="128"/>
    </font>
    <font>
      <b/>
      <u/>
      <sz val="20"/>
      <color rgb="FF0000CC"/>
      <name val="ＭＳ Ｐゴシック"/>
      <family val="3"/>
      <charset val="128"/>
    </font>
    <font>
      <b/>
      <u/>
      <sz val="10"/>
      <color theme="1"/>
      <name val="ＭＳ Ｐゴシック"/>
      <family val="3"/>
      <charset val="128"/>
    </font>
    <font>
      <b/>
      <sz val="12"/>
      <color theme="0"/>
      <name val="ＭＳ Ｐゴシック"/>
      <family val="3"/>
      <charset val="128"/>
    </font>
    <font>
      <sz val="11"/>
      <color theme="0"/>
      <name val="ＭＳ Ｐゴシック"/>
      <family val="3"/>
      <charset val="128"/>
    </font>
    <font>
      <b/>
      <sz val="11"/>
      <color rgb="FF0000FF"/>
      <name val="ＭＳ Ｐゴシック"/>
      <family val="3"/>
      <charset val="128"/>
      <scheme val="minor"/>
    </font>
    <font>
      <u/>
      <sz val="14"/>
      <color rgb="FF0000CC"/>
      <name val="ＭＳ Ｐゴシック"/>
      <family val="3"/>
      <charset val="128"/>
    </font>
    <font>
      <b/>
      <u/>
      <sz val="10"/>
      <color rgb="FFFF0000"/>
      <name val="ＭＳ Ｐゴシック"/>
      <family val="3"/>
      <charset val="128"/>
    </font>
    <font>
      <b/>
      <sz val="12"/>
      <color rgb="FFFF0000"/>
      <name val="ＭＳ Ｐゴシック"/>
      <family val="3"/>
      <charset val="128"/>
    </font>
    <font>
      <b/>
      <u/>
      <sz val="12"/>
      <color rgb="FF0000FF"/>
      <name val="ＭＳ Ｐゴシック"/>
      <family val="3"/>
      <charset val="128"/>
    </font>
    <font>
      <sz val="12"/>
      <color theme="0" tint="-0.249977111117893"/>
      <name val="ＭＳ Ｐゴシック"/>
      <family val="3"/>
      <charset val="128"/>
    </font>
    <font>
      <sz val="11"/>
      <color theme="0" tint="-0.249977111117893"/>
      <name val="ＭＳ Ｐゴシック"/>
      <family val="3"/>
      <charset val="128"/>
    </font>
    <font>
      <b/>
      <sz val="12"/>
      <color theme="0" tint="-0.249977111117893"/>
      <name val="ＭＳ Ｐゴシック"/>
      <family val="3"/>
      <charset val="128"/>
    </font>
    <font>
      <b/>
      <sz val="11"/>
      <color theme="0" tint="-0.249977111117893"/>
      <name val="ＭＳ Ｐゴシック"/>
      <family val="3"/>
      <charset val="128"/>
    </font>
    <font>
      <b/>
      <u/>
      <sz val="14"/>
      <color rgb="FF0000FF"/>
      <name val="ＭＳ Ｐゴシック"/>
      <family val="3"/>
      <charset val="128"/>
    </font>
    <font>
      <u/>
      <sz val="18"/>
      <color rgb="FF0000FF"/>
      <name val="ＭＳ Ｐゴシック"/>
      <family val="3"/>
      <charset val="128"/>
    </font>
    <font>
      <b/>
      <sz val="10"/>
      <color theme="0" tint="-0.249977111117893"/>
      <name val="ＭＳ Ｐゴシック"/>
      <family val="3"/>
      <charset val="128"/>
    </font>
    <font>
      <b/>
      <sz val="14"/>
      <color theme="0" tint="-0.249977111117893"/>
      <name val="ＭＳ Ｐゴシック"/>
      <family val="3"/>
      <charset val="128"/>
    </font>
    <font>
      <b/>
      <sz val="11"/>
      <color rgb="FF0000FF"/>
      <name val="ＭＳ ゴシック"/>
      <family val="3"/>
      <charset val="128"/>
    </font>
    <font>
      <sz val="11"/>
      <color rgb="FF0000CC"/>
      <name val="ＭＳ Ｐゴシック"/>
      <family val="3"/>
      <charset val="128"/>
    </font>
    <font>
      <b/>
      <u/>
      <sz val="12"/>
      <color rgb="FFBCBCBC"/>
      <name val="ＭＳ Ｐゴシック"/>
      <family val="3"/>
      <charset val="128"/>
    </font>
    <font>
      <b/>
      <sz val="11"/>
      <color rgb="FFBCBCBC"/>
      <name val="ＭＳ Ｐゴシック"/>
      <family val="3"/>
      <charset val="128"/>
    </font>
    <font>
      <b/>
      <u/>
      <sz val="16"/>
      <color theme="1"/>
      <name val="ＭＳ Ｐゴシック"/>
      <family val="3"/>
      <charset val="128"/>
    </font>
    <font>
      <b/>
      <sz val="10"/>
      <name val="ＭＳ Ｐゴシック"/>
      <family val="3"/>
      <charset val="128"/>
    </font>
    <font>
      <b/>
      <sz val="10"/>
      <color rgb="FF0000FF"/>
      <name val="ＭＳ Ｐゴシック"/>
      <family val="3"/>
      <charset val="128"/>
    </font>
    <font>
      <sz val="12"/>
      <color rgb="FF9B9B9B"/>
      <name val="ＭＳ Ｐゴシック"/>
      <family val="3"/>
      <charset val="128"/>
    </font>
    <font>
      <b/>
      <sz val="11"/>
      <color theme="0"/>
      <name val="ＭＳ Ｐゴシック"/>
      <family val="3"/>
      <charset val="128"/>
    </font>
    <font>
      <b/>
      <sz val="18"/>
      <color theme="1"/>
      <name val="ＭＳ Ｐゴシック"/>
      <family val="3"/>
      <charset val="128"/>
    </font>
    <font>
      <b/>
      <u/>
      <sz val="16"/>
      <color rgb="FFFF0000"/>
      <name val="ＭＳ Ｐゴシック"/>
      <family val="3"/>
      <charset val="128"/>
    </font>
    <font>
      <b/>
      <u/>
      <sz val="12"/>
      <color rgb="FF000000"/>
      <name val="ＭＳ Ｐゴシック"/>
      <family val="3"/>
      <charset val="128"/>
    </font>
    <font>
      <sz val="9"/>
      <color theme="0" tint="-0.34998626667073579"/>
      <name val="ＭＳ Ｐゴシック"/>
      <family val="3"/>
      <charset val="128"/>
    </font>
    <font>
      <sz val="12"/>
      <color theme="0" tint="-0.34998626667073579"/>
      <name val="ＭＳ Ｐゴシック"/>
      <family val="3"/>
      <charset val="128"/>
    </font>
    <font>
      <u/>
      <sz val="18"/>
      <color theme="0" tint="-0.34998626667073579"/>
      <name val="ＭＳ Ｐゴシック"/>
      <family val="3"/>
      <charset val="128"/>
    </font>
    <font>
      <b/>
      <sz val="16"/>
      <color theme="0" tint="-0.34998626667073579"/>
      <name val="ＭＳ Ｐゴシック"/>
      <family val="3"/>
      <charset val="128"/>
    </font>
    <font>
      <b/>
      <sz val="18"/>
      <color theme="0" tint="-0.34998626667073579"/>
      <name val="ＭＳ Ｐゴシック"/>
      <family val="3"/>
      <charset val="128"/>
    </font>
    <font>
      <b/>
      <u/>
      <sz val="12"/>
      <color theme="0" tint="-0.34998626667073579"/>
      <name val="ＭＳ Ｐゴシック"/>
      <family val="3"/>
      <charset val="128"/>
    </font>
    <font>
      <b/>
      <sz val="12"/>
      <color theme="0" tint="-0.34998626667073579"/>
      <name val="ＭＳ Ｐゴシック"/>
      <family val="3"/>
      <charset val="128"/>
    </font>
    <font>
      <b/>
      <u/>
      <sz val="11"/>
      <color theme="0" tint="-0.34998626667073579"/>
      <name val="ＭＳ Ｐゴシック"/>
      <family val="3"/>
      <charset val="128"/>
    </font>
    <font>
      <b/>
      <sz val="11"/>
      <color theme="0" tint="-0.34998626667073579"/>
      <name val="ＭＳ ゴシック"/>
      <family val="3"/>
      <charset val="128"/>
    </font>
    <font>
      <b/>
      <sz val="14"/>
      <color theme="0" tint="-0.34998626667073579"/>
      <name val="ＭＳ Ｐゴシック"/>
      <family val="3"/>
      <charset val="128"/>
    </font>
    <font>
      <b/>
      <sz val="11"/>
      <color theme="0" tint="-0.34998626667073579"/>
      <name val="ＭＳ Ｐゴシック"/>
      <family val="3"/>
      <charset val="128"/>
    </font>
    <font>
      <b/>
      <u/>
      <sz val="14"/>
      <color theme="0" tint="-0.34998626667073579"/>
      <name val="ＭＳ Ｐゴシック"/>
      <family val="3"/>
      <charset val="128"/>
    </font>
    <font>
      <sz val="11"/>
      <color theme="0" tint="-0.34998626667073579"/>
      <name val="ＭＳ Ｐゴシック"/>
      <family val="3"/>
      <charset val="128"/>
    </font>
    <font>
      <b/>
      <u/>
      <sz val="10"/>
      <color theme="0" tint="-0.34998626667073579"/>
      <name val="ＭＳ Ｐゴシック"/>
      <family val="3"/>
      <charset val="128"/>
    </font>
    <font>
      <b/>
      <sz val="16"/>
      <color rgb="FF3333FF"/>
      <name val="ＭＳ Ｐゴシック"/>
      <family val="3"/>
      <charset val="128"/>
    </font>
    <font>
      <b/>
      <u/>
      <sz val="14"/>
      <color rgb="FF3333FF"/>
      <name val="ＭＳ Ｐゴシック"/>
      <family val="3"/>
      <charset val="128"/>
    </font>
  </fonts>
  <fills count="34">
    <fill>
      <patternFill patternType="none"/>
    </fill>
    <fill>
      <patternFill patternType="gray125"/>
    </fill>
    <fill>
      <patternFill patternType="solid">
        <fgColor indexed="31"/>
        <bgColor indexed="64"/>
      </patternFill>
    </fill>
    <fill>
      <patternFill patternType="solid">
        <fgColor indexed="15"/>
        <bgColor indexed="64"/>
      </patternFill>
    </fill>
    <fill>
      <patternFill patternType="solid">
        <fgColor indexed="13"/>
        <bgColor indexed="64"/>
      </patternFill>
    </fill>
    <fill>
      <patternFill patternType="solid">
        <fgColor indexed="43"/>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FFCC"/>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EFECF4"/>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0000CC"/>
        <bgColor indexed="64"/>
      </patternFill>
    </fill>
    <fill>
      <patternFill patternType="solid">
        <fgColor rgb="FF0000FF"/>
        <bgColor indexed="64"/>
      </patternFill>
    </fill>
    <fill>
      <patternFill patternType="solid">
        <fgColor rgb="FFCCFFFF"/>
        <bgColor indexed="64"/>
      </patternFill>
    </fill>
    <fill>
      <patternFill patternType="solid">
        <fgColor rgb="FF3333FF"/>
        <bgColor indexed="64"/>
      </patternFill>
    </fill>
    <fill>
      <patternFill patternType="solid">
        <fgColor rgb="FFFEF6F0"/>
        <bgColor indexed="64"/>
      </patternFill>
    </fill>
    <fill>
      <patternFill patternType="solid">
        <fgColor rgb="FFFFFFCD"/>
        <bgColor indexed="64"/>
      </patternFill>
    </fill>
    <fill>
      <patternFill patternType="solid">
        <fgColor rgb="FFF5F8EE"/>
        <bgColor indexed="64"/>
      </patternFill>
    </fill>
    <fill>
      <patternFill patternType="solid">
        <fgColor rgb="FF00FF99"/>
        <bgColor indexed="64"/>
      </patternFill>
    </fill>
    <fill>
      <patternFill patternType="solid">
        <fgColor rgb="FFFF6600"/>
        <bgColor indexed="64"/>
      </patternFill>
    </fill>
    <fill>
      <patternFill patternType="solid">
        <fgColor rgb="FF00FFFF"/>
        <bgColor indexed="64"/>
      </patternFill>
    </fill>
    <fill>
      <patternFill patternType="solid">
        <fgColor theme="0" tint="-0.34998626667073579"/>
        <bgColor indexed="64"/>
      </patternFill>
    </fill>
  </fills>
  <borders count="105">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top/>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bottom style="hair">
        <color indexed="64"/>
      </bottom>
      <diagonal/>
    </border>
    <border>
      <left style="medium">
        <color indexed="64"/>
      </left>
      <right/>
      <top/>
      <bottom style="thin">
        <color indexed="64"/>
      </bottom>
      <diagonal/>
    </border>
    <border>
      <left style="thick">
        <color rgb="FF0000FF"/>
      </left>
      <right style="thick">
        <color rgb="FF0000FF"/>
      </right>
      <top style="thick">
        <color rgb="FF0000FF"/>
      </top>
      <bottom/>
      <diagonal/>
    </border>
    <border>
      <left style="thick">
        <color rgb="FF0000FF"/>
      </left>
      <right style="thick">
        <color rgb="FF0000FF"/>
      </right>
      <top/>
      <bottom/>
      <diagonal/>
    </border>
    <border>
      <left style="thick">
        <color rgb="FF0000FF"/>
      </left>
      <right style="thick">
        <color rgb="FF0000FF"/>
      </right>
      <top/>
      <bottom style="thick">
        <color rgb="FF0000FF"/>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diagonal/>
    </border>
    <border>
      <left/>
      <right/>
      <top/>
      <bottom style="hair">
        <color indexed="64"/>
      </bottom>
      <diagonal/>
    </border>
    <border>
      <left/>
      <right style="thin">
        <color indexed="64"/>
      </right>
      <top/>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s>
  <cellStyleXfs count="5">
    <xf numFmtId="0" fontId="0"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30" fillId="0" borderId="0" applyNumberFormat="0" applyFill="0" applyBorder="0" applyAlignment="0" applyProtection="0">
      <alignment vertical="center"/>
    </xf>
    <xf numFmtId="37" fontId="31" fillId="0" borderId="0"/>
  </cellStyleXfs>
  <cellXfs count="1068">
    <xf numFmtId="0" fontId="0" fillId="0" borderId="0" xfId="0">
      <alignment vertical="center"/>
    </xf>
    <xf numFmtId="0" fontId="4" fillId="0" borderId="0" xfId="0" quotePrefix="1" applyFont="1" applyAlignment="1">
      <alignment horizontal="left"/>
    </xf>
    <xf numFmtId="0" fontId="0" fillId="0" borderId="0" xfId="0" applyAlignment="1">
      <alignment horizontal="center" vertical="center"/>
    </xf>
    <xf numFmtId="38" fontId="0" fillId="0" borderId="0" xfId="2" applyFont="1">
      <alignment vertical="center"/>
    </xf>
    <xf numFmtId="0" fontId="4" fillId="0" borderId="0" xfId="0" applyFont="1" applyAlignment="1">
      <alignment horizontal="left"/>
    </xf>
    <xf numFmtId="38" fontId="5" fillId="0" borderId="0" xfId="2" applyFont="1" applyAlignment="1">
      <alignment horizontal="left" vertical="center"/>
    </xf>
    <xf numFmtId="0" fontId="2" fillId="0" borderId="0" xfId="0" applyFont="1" applyAlignment="1">
      <alignment horizontal="right"/>
    </xf>
    <xf numFmtId="38" fontId="0" fillId="0" borderId="0" xfId="2" applyFont="1" applyAlignment="1">
      <alignment horizontal="center" vertical="center"/>
    </xf>
    <xf numFmtId="38" fontId="0" fillId="0" borderId="0" xfId="2" applyFont="1" applyAlignment="1">
      <alignment vertical="center"/>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38" fontId="0" fillId="2" borderId="17" xfId="2" applyFont="1" applyFill="1" applyBorder="1">
      <alignment vertical="center"/>
    </xf>
    <xf numFmtId="38" fontId="0" fillId="0" borderId="18" xfId="2" applyFont="1" applyBorder="1">
      <alignment vertical="center"/>
    </xf>
    <xf numFmtId="38" fontId="0" fillId="0" borderId="1" xfId="2" applyFont="1" applyFill="1" applyBorder="1">
      <alignment vertical="center"/>
    </xf>
    <xf numFmtId="38" fontId="0" fillId="0" borderId="18" xfId="2" applyFont="1" applyFill="1" applyBorder="1">
      <alignment vertical="center"/>
    </xf>
    <xf numFmtId="38" fontId="0" fillId="0" borderId="19" xfId="2" applyFont="1" applyBorder="1">
      <alignment vertical="center"/>
    </xf>
    <xf numFmtId="0" fontId="14" fillId="0" borderId="0" xfId="0" applyFont="1" applyProtection="1">
      <alignment vertical="center"/>
      <protection hidden="1"/>
    </xf>
    <xf numFmtId="38" fontId="14" fillId="0" borderId="0" xfId="2" applyFont="1" applyFill="1" applyBorder="1" applyProtection="1">
      <alignment vertical="center"/>
      <protection hidden="1"/>
    </xf>
    <xf numFmtId="0" fontId="14" fillId="0" borderId="0" xfId="0" applyFont="1" applyAlignment="1" applyProtection="1">
      <alignment horizontal="center" vertical="center"/>
      <protection hidden="1"/>
    </xf>
    <xf numFmtId="38" fontId="14" fillId="0" borderId="0" xfId="2" applyFont="1" applyProtection="1">
      <alignment vertical="center"/>
      <protection hidden="1"/>
    </xf>
    <xf numFmtId="0" fontId="14" fillId="2" borderId="52" xfId="0" applyFont="1" applyFill="1" applyBorder="1" applyAlignment="1" applyProtection="1">
      <alignment horizontal="center" vertical="center"/>
      <protection hidden="1"/>
    </xf>
    <xf numFmtId="0" fontId="33" fillId="0" borderId="57" xfId="0" applyFont="1" applyBorder="1" applyAlignment="1" applyProtection="1">
      <alignment horizontal="center" vertical="center"/>
      <protection locked="0"/>
    </xf>
    <xf numFmtId="0" fontId="5" fillId="0" borderId="0" xfId="0" applyFont="1">
      <alignment vertical="center"/>
    </xf>
    <xf numFmtId="0" fontId="24" fillId="0" borderId="0" xfId="0" applyFont="1" applyProtection="1">
      <alignment vertical="center"/>
      <protection hidden="1"/>
    </xf>
    <xf numFmtId="38" fontId="24" fillId="14" borderId="2" xfId="0" applyNumberFormat="1" applyFont="1" applyFill="1" applyBorder="1" applyProtection="1">
      <alignment vertical="center"/>
      <protection hidden="1"/>
    </xf>
    <xf numFmtId="38" fontId="14" fillId="0" borderId="0" xfId="2" applyFont="1" applyAlignment="1" applyProtection="1">
      <alignment horizontal="center" vertical="center"/>
      <protection hidden="1"/>
    </xf>
    <xf numFmtId="0" fontId="13" fillId="0" borderId="0" xfId="0" applyFont="1" applyAlignment="1" applyProtection="1">
      <alignment horizontal="center" vertical="center"/>
      <protection hidden="1"/>
    </xf>
    <xf numFmtId="181" fontId="13" fillId="0" borderId="0" xfId="0" applyNumberFormat="1" applyFont="1" applyAlignment="1" applyProtection="1">
      <alignment horizontal="center" vertical="center"/>
      <protection hidden="1"/>
    </xf>
    <xf numFmtId="38" fontId="37" fillId="6" borderId="2" xfId="2" applyFont="1" applyFill="1" applyBorder="1" applyProtection="1">
      <alignment vertical="center"/>
      <protection hidden="1"/>
    </xf>
    <xf numFmtId="0" fontId="24" fillId="7" borderId="2" xfId="0" applyFont="1" applyFill="1" applyBorder="1" applyAlignment="1" applyProtection="1">
      <alignment horizontal="center" vertical="center"/>
      <protection hidden="1"/>
    </xf>
    <xf numFmtId="38" fontId="5" fillId="7" borderId="2" xfId="2" applyFont="1" applyFill="1" applyBorder="1" applyAlignment="1" applyProtection="1">
      <alignment horizontal="center" vertical="center"/>
      <protection hidden="1"/>
    </xf>
    <xf numFmtId="0" fontId="38" fillId="6" borderId="2" xfId="0" applyFont="1" applyFill="1" applyBorder="1" applyAlignment="1" applyProtection="1">
      <alignment horizontal="center" vertical="center"/>
      <protection hidden="1"/>
    </xf>
    <xf numFmtId="0" fontId="5" fillId="7" borderId="2" xfId="0" applyFont="1" applyFill="1" applyBorder="1" applyAlignment="1" applyProtection="1">
      <alignment horizontal="center" vertical="center"/>
      <protection hidden="1"/>
    </xf>
    <xf numFmtId="0" fontId="24" fillId="0" borderId="0" xfId="0" applyFont="1" applyAlignment="1" applyProtection="1">
      <alignment horizontal="right" vertical="center"/>
      <protection hidden="1"/>
    </xf>
    <xf numFmtId="0" fontId="16" fillId="0" borderId="0" xfId="0" applyFont="1" applyProtection="1">
      <alignment vertical="center"/>
      <protection hidden="1"/>
    </xf>
    <xf numFmtId="38" fontId="24" fillId="14" borderId="62" xfId="0" applyNumberFormat="1" applyFont="1" applyFill="1" applyBorder="1" applyProtection="1">
      <alignment vertical="center"/>
      <protection hidden="1"/>
    </xf>
    <xf numFmtId="38" fontId="24" fillId="14" borderId="64" xfId="0" applyNumberFormat="1" applyFont="1" applyFill="1" applyBorder="1" applyProtection="1">
      <alignment vertical="center"/>
      <protection hidden="1"/>
    </xf>
    <xf numFmtId="38" fontId="24" fillId="14" borderId="47" xfId="0" applyNumberFormat="1" applyFont="1" applyFill="1" applyBorder="1" applyProtection="1">
      <alignment vertical="center"/>
      <protection hidden="1"/>
    </xf>
    <xf numFmtId="38" fontId="24" fillId="14" borderId="66" xfId="0" applyNumberFormat="1" applyFont="1" applyFill="1" applyBorder="1" applyProtection="1">
      <alignment vertical="center"/>
      <protection hidden="1"/>
    </xf>
    <xf numFmtId="0" fontId="5" fillId="2" borderId="35" xfId="0" applyFont="1" applyFill="1" applyBorder="1" applyAlignment="1" applyProtection="1">
      <alignment horizontal="center" vertical="center" wrapText="1"/>
      <protection hidden="1"/>
    </xf>
    <xf numFmtId="38" fontId="24" fillId="14" borderId="63" xfId="0" applyNumberFormat="1" applyFont="1" applyFill="1" applyBorder="1" applyProtection="1">
      <alignment vertical="center"/>
      <protection hidden="1"/>
    </xf>
    <xf numFmtId="38" fontId="24" fillId="14" borderId="26" xfId="0" applyNumberFormat="1" applyFont="1" applyFill="1" applyBorder="1" applyProtection="1">
      <alignment vertical="center"/>
      <protection hidden="1"/>
    </xf>
    <xf numFmtId="38" fontId="24" fillId="14" borderId="54" xfId="0" applyNumberFormat="1" applyFont="1" applyFill="1" applyBorder="1" applyProtection="1">
      <alignment vertical="center"/>
      <protection hidden="1"/>
    </xf>
    <xf numFmtId="38" fontId="24" fillId="14" borderId="36" xfId="0" applyNumberFormat="1" applyFont="1" applyFill="1" applyBorder="1" applyProtection="1">
      <alignment vertical="center"/>
      <protection hidden="1"/>
    </xf>
    <xf numFmtId="38" fontId="24" fillId="14" borderId="7" xfId="0" applyNumberFormat="1" applyFont="1" applyFill="1" applyBorder="1" applyProtection="1">
      <alignment vertical="center"/>
      <protection hidden="1"/>
    </xf>
    <xf numFmtId="38" fontId="24" fillId="8" borderId="62" xfId="0" applyNumberFormat="1" applyFont="1" applyFill="1" applyBorder="1" applyProtection="1">
      <alignment vertical="center"/>
      <protection hidden="1"/>
    </xf>
    <xf numFmtId="38" fontId="24" fillId="8" borderId="12" xfId="0" applyNumberFormat="1" applyFont="1" applyFill="1" applyBorder="1" applyProtection="1">
      <alignment vertical="center"/>
      <protection hidden="1"/>
    </xf>
    <xf numFmtId="38" fontId="24" fillId="8" borderId="51" xfId="0" applyNumberFormat="1" applyFont="1" applyFill="1" applyBorder="1" applyProtection="1">
      <alignment vertical="center"/>
      <protection hidden="1"/>
    </xf>
    <xf numFmtId="38" fontId="24" fillId="8" borderId="64" xfId="0" applyNumberFormat="1" applyFont="1" applyFill="1" applyBorder="1" applyProtection="1">
      <alignment vertical="center"/>
      <protection hidden="1"/>
    </xf>
    <xf numFmtId="38" fontId="24" fillId="8" borderId="40" xfId="0" applyNumberFormat="1" applyFont="1" applyFill="1" applyBorder="1" applyProtection="1">
      <alignment vertical="center"/>
      <protection hidden="1"/>
    </xf>
    <xf numFmtId="38" fontId="24" fillId="8" borderId="65" xfId="0" applyNumberFormat="1" applyFont="1" applyFill="1" applyBorder="1" applyProtection="1">
      <alignment vertical="center"/>
      <protection hidden="1"/>
    </xf>
    <xf numFmtId="0" fontId="5" fillId="10" borderId="15" xfId="0" applyFont="1" applyFill="1" applyBorder="1" applyAlignment="1" applyProtection="1">
      <alignment horizontal="center" vertical="center" wrapText="1"/>
      <protection hidden="1"/>
    </xf>
    <xf numFmtId="0" fontId="5" fillId="10" borderId="16" xfId="0" applyFont="1" applyFill="1" applyBorder="1" applyAlignment="1" applyProtection="1">
      <alignment horizontal="center" vertical="center" wrapText="1"/>
      <protection hidden="1"/>
    </xf>
    <xf numFmtId="0" fontId="5" fillId="10" borderId="17" xfId="0" applyFont="1" applyFill="1" applyBorder="1" applyAlignment="1" applyProtection="1">
      <alignment horizontal="center" vertical="center" wrapText="1"/>
      <protection hidden="1"/>
    </xf>
    <xf numFmtId="0" fontId="42" fillId="6" borderId="2" xfId="0" applyFont="1" applyFill="1" applyBorder="1" applyAlignment="1" applyProtection="1">
      <alignment horizontal="center" vertical="center"/>
      <protection hidden="1"/>
    </xf>
    <xf numFmtId="0" fontId="24" fillId="7" borderId="3" xfId="0" applyFont="1" applyFill="1" applyBorder="1" applyAlignment="1" applyProtection="1">
      <alignment horizontal="center" vertical="center"/>
      <protection hidden="1"/>
    </xf>
    <xf numFmtId="0" fontId="24" fillId="6" borderId="18" xfId="0" applyFont="1" applyFill="1" applyBorder="1" applyAlignment="1" applyProtection="1">
      <alignment horizontal="center" vertical="center"/>
      <protection hidden="1"/>
    </xf>
    <xf numFmtId="0" fontId="29" fillId="0" borderId="0" xfId="0" applyFont="1" applyAlignment="1" applyProtection="1">
      <alignment horizontal="left" vertical="center"/>
      <protection hidden="1"/>
    </xf>
    <xf numFmtId="38" fontId="37" fillId="6" borderId="27" xfId="0" applyNumberFormat="1" applyFont="1" applyFill="1" applyBorder="1" applyAlignment="1" applyProtection="1">
      <alignment horizontal="center" vertical="center"/>
      <protection hidden="1"/>
    </xf>
    <xf numFmtId="182" fontId="24" fillId="6" borderId="2" xfId="0" applyNumberFormat="1" applyFont="1" applyFill="1" applyBorder="1" applyProtection="1">
      <alignment vertical="center"/>
      <protection hidden="1"/>
    </xf>
    <xf numFmtId="0" fontId="5" fillId="2" borderId="47" xfId="0" applyFont="1" applyFill="1" applyBorder="1" applyAlignment="1" applyProtection="1">
      <alignment horizontal="center" vertical="center" wrapText="1"/>
      <protection hidden="1"/>
    </xf>
    <xf numFmtId="0" fontId="24" fillId="6" borderId="27" xfId="0" applyFont="1" applyFill="1" applyBorder="1" applyAlignment="1" applyProtection="1">
      <alignment horizontal="center" vertical="center"/>
      <protection hidden="1"/>
    </xf>
    <xf numFmtId="0" fontId="24" fillId="7" borderId="28" xfId="0" applyFont="1" applyFill="1" applyBorder="1" applyAlignment="1" applyProtection="1">
      <alignment horizontal="center" vertical="center"/>
      <protection hidden="1"/>
    </xf>
    <xf numFmtId="0" fontId="5" fillId="17" borderId="16" xfId="0" applyFont="1" applyFill="1" applyBorder="1" applyAlignment="1" applyProtection="1">
      <alignment horizontal="center" vertical="center" wrapText="1"/>
      <protection hidden="1"/>
    </xf>
    <xf numFmtId="0" fontId="5" fillId="17" borderId="34" xfId="0" applyFont="1" applyFill="1" applyBorder="1" applyAlignment="1" applyProtection="1">
      <alignment horizontal="center" vertical="center" wrapText="1"/>
      <protection hidden="1"/>
    </xf>
    <xf numFmtId="38" fontId="24" fillId="6" borderId="1" xfId="2" applyFont="1" applyFill="1" applyBorder="1" applyProtection="1">
      <alignment vertical="center"/>
      <protection hidden="1"/>
    </xf>
    <xf numFmtId="38" fontId="24" fillId="6" borderId="6" xfId="2" applyFont="1" applyFill="1" applyBorder="1" applyProtection="1">
      <alignment vertical="center"/>
      <protection hidden="1"/>
    </xf>
    <xf numFmtId="38" fontId="24" fillId="18" borderId="1" xfId="2" applyFont="1" applyFill="1" applyBorder="1" applyProtection="1">
      <alignment vertical="center"/>
      <protection hidden="1"/>
    </xf>
    <xf numFmtId="38" fontId="24" fillId="18" borderId="51" xfId="2" applyFont="1" applyFill="1" applyBorder="1" applyProtection="1">
      <alignment vertical="center"/>
      <protection hidden="1"/>
    </xf>
    <xf numFmtId="38" fontId="24" fillId="18" borderId="6" xfId="2" applyFont="1" applyFill="1" applyBorder="1" applyProtection="1">
      <alignment vertical="center"/>
      <protection hidden="1"/>
    </xf>
    <xf numFmtId="38" fontId="24" fillId="18" borderId="65" xfId="2" applyFont="1" applyFill="1" applyBorder="1" applyProtection="1">
      <alignment vertical="center"/>
      <protection hidden="1"/>
    </xf>
    <xf numFmtId="38" fontId="24" fillId="6" borderId="3" xfId="0" applyNumberFormat="1" applyFont="1" applyFill="1" applyBorder="1" applyProtection="1">
      <alignment vertical="center"/>
      <protection hidden="1"/>
    </xf>
    <xf numFmtId="38" fontId="24" fillId="6" borderId="51" xfId="0" applyNumberFormat="1" applyFont="1" applyFill="1" applyBorder="1" applyProtection="1">
      <alignment vertical="center"/>
      <protection hidden="1"/>
    </xf>
    <xf numFmtId="0" fontId="5" fillId="2" borderId="10" xfId="0" applyFont="1" applyFill="1" applyBorder="1" applyAlignment="1" applyProtection="1">
      <alignment horizontal="center" vertical="center"/>
      <protection hidden="1"/>
    </xf>
    <xf numFmtId="0" fontId="14" fillId="2" borderId="32" xfId="0" applyFont="1" applyFill="1" applyBorder="1" applyAlignment="1" applyProtection="1">
      <alignment horizontal="center" vertical="center"/>
      <protection hidden="1"/>
    </xf>
    <xf numFmtId="0" fontId="14" fillId="2" borderId="3" xfId="0" applyFont="1" applyFill="1" applyBorder="1" applyAlignment="1" applyProtection="1">
      <alignment horizontal="center" vertical="center"/>
      <protection hidden="1"/>
    </xf>
    <xf numFmtId="0" fontId="12" fillId="8" borderId="28" xfId="0" applyFont="1" applyFill="1" applyBorder="1" applyAlignment="1" applyProtection="1">
      <alignment horizontal="center" vertical="center" wrapText="1"/>
      <protection hidden="1"/>
    </xf>
    <xf numFmtId="38" fontId="24" fillId="6" borderId="47" xfId="0" applyNumberFormat="1" applyFont="1" applyFill="1" applyBorder="1" applyAlignment="1" applyProtection="1">
      <alignment horizontal="center" vertical="center"/>
      <protection hidden="1"/>
    </xf>
    <xf numFmtId="38" fontId="24" fillId="6" borderId="66" xfId="0" applyNumberFormat="1" applyFont="1" applyFill="1" applyBorder="1" applyAlignment="1" applyProtection="1">
      <alignment horizontal="center" vertical="center"/>
      <protection hidden="1"/>
    </xf>
    <xf numFmtId="0" fontId="20" fillId="7" borderId="15" xfId="0" applyFont="1" applyFill="1" applyBorder="1" applyAlignment="1" applyProtection="1">
      <alignment horizontal="center" vertical="center"/>
      <protection hidden="1"/>
    </xf>
    <xf numFmtId="0" fontId="20" fillId="7" borderId="16" xfId="0" applyFont="1" applyFill="1" applyBorder="1" applyAlignment="1" applyProtection="1">
      <alignment horizontal="center" vertical="center"/>
      <protection hidden="1"/>
    </xf>
    <xf numFmtId="0" fontId="20" fillId="7" borderId="17" xfId="0" applyFont="1" applyFill="1" applyBorder="1" applyAlignment="1" applyProtection="1">
      <alignment horizontal="center" vertical="center"/>
      <protection hidden="1"/>
    </xf>
    <xf numFmtId="0" fontId="5" fillId="19" borderId="5" xfId="0" applyFont="1" applyFill="1" applyBorder="1" applyAlignment="1" applyProtection="1">
      <alignment horizontal="center" vertical="center" wrapText="1"/>
      <protection hidden="1"/>
    </xf>
    <xf numFmtId="0" fontId="5" fillId="19" borderId="2" xfId="0" applyFont="1" applyFill="1" applyBorder="1" applyAlignment="1" applyProtection="1">
      <alignment horizontal="center" vertical="center" wrapText="1"/>
      <protection hidden="1"/>
    </xf>
    <xf numFmtId="38" fontId="24" fillId="15" borderId="2" xfId="0" applyNumberFormat="1" applyFont="1" applyFill="1" applyBorder="1" applyProtection="1">
      <alignment vertical="center"/>
      <protection hidden="1"/>
    </xf>
    <xf numFmtId="0" fontId="44" fillId="0" borderId="0" xfId="0" applyFont="1" applyProtection="1">
      <alignment vertical="center"/>
      <protection hidden="1"/>
    </xf>
    <xf numFmtId="38" fontId="24" fillId="6" borderId="6" xfId="2" applyFont="1" applyFill="1" applyBorder="1" applyAlignment="1" applyProtection="1">
      <alignment horizontal="center" vertical="center"/>
      <protection hidden="1"/>
    </xf>
    <xf numFmtId="38" fontId="24" fillId="6" borderId="7" xfId="2" applyFont="1" applyFill="1" applyBorder="1" applyAlignment="1" applyProtection="1">
      <alignment horizontal="center" vertical="center"/>
      <protection hidden="1"/>
    </xf>
    <xf numFmtId="38" fontId="24" fillId="6" borderId="27" xfId="2" applyFont="1" applyFill="1" applyBorder="1" applyAlignment="1" applyProtection="1">
      <alignment horizontal="center" vertical="center"/>
      <protection hidden="1"/>
    </xf>
    <xf numFmtId="38" fontId="24" fillId="15" borderId="12" xfId="0" applyNumberFormat="1" applyFont="1" applyFill="1" applyBorder="1" applyProtection="1">
      <alignment vertical="center"/>
      <protection hidden="1"/>
    </xf>
    <xf numFmtId="0" fontId="24" fillId="7" borderId="21" xfId="0" applyFont="1" applyFill="1" applyBorder="1" applyAlignment="1" applyProtection="1">
      <alignment horizontal="center" vertical="center"/>
      <protection hidden="1"/>
    </xf>
    <xf numFmtId="0" fontId="20" fillId="7" borderId="27" xfId="0" applyFont="1" applyFill="1" applyBorder="1" applyAlignment="1" applyProtection="1">
      <alignment horizontal="center" vertical="center"/>
      <protection hidden="1"/>
    </xf>
    <xf numFmtId="0" fontId="14" fillId="0" borderId="67" xfId="0" applyFont="1" applyBorder="1" applyProtection="1">
      <alignment vertical="center"/>
      <protection hidden="1"/>
    </xf>
    <xf numFmtId="0" fontId="18" fillId="0" borderId="0" xfId="0" applyFont="1" applyAlignment="1" applyProtection="1">
      <alignment horizontal="center" vertical="center"/>
      <protection hidden="1"/>
    </xf>
    <xf numFmtId="38" fontId="24" fillId="8" borderId="2" xfId="2" applyFont="1" applyFill="1" applyBorder="1" applyProtection="1">
      <alignment vertical="center"/>
      <protection hidden="1"/>
    </xf>
    <xf numFmtId="176" fontId="24" fillId="8" borderId="2" xfId="1" applyNumberFormat="1" applyFont="1" applyFill="1" applyBorder="1" applyProtection="1">
      <alignment vertical="center"/>
      <protection hidden="1"/>
    </xf>
    <xf numFmtId="0" fontId="5" fillId="19" borderId="3" xfId="0" applyFont="1" applyFill="1" applyBorder="1" applyAlignment="1" applyProtection="1">
      <alignment horizontal="center" vertical="center" wrapText="1"/>
      <protection hidden="1"/>
    </xf>
    <xf numFmtId="38" fontId="24" fillId="15" borderId="3" xfId="0" applyNumberFormat="1" applyFont="1" applyFill="1" applyBorder="1" applyProtection="1">
      <alignment vertical="center"/>
      <protection hidden="1"/>
    </xf>
    <xf numFmtId="38" fontId="24" fillId="15" borderId="3" xfId="2" applyFont="1" applyFill="1" applyBorder="1" applyProtection="1">
      <alignment vertical="center"/>
      <protection hidden="1"/>
    </xf>
    <xf numFmtId="38" fontId="24" fillId="6" borderId="28" xfId="2" applyFont="1" applyFill="1" applyBorder="1" applyAlignment="1" applyProtection="1">
      <alignment horizontal="center" vertical="center"/>
      <protection hidden="1"/>
    </xf>
    <xf numFmtId="38" fontId="20" fillId="6" borderId="68" xfId="2" applyFont="1" applyFill="1" applyBorder="1" applyAlignment="1" applyProtection="1">
      <alignment horizontal="center" vertical="center"/>
      <protection hidden="1"/>
    </xf>
    <xf numFmtId="176" fontId="24" fillId="6" borderId="21" xfId="1" applyNumberFormat="1" applyFont="1" applyFill="1" applyBorder="1" applyAlignment="1" applyProtection="1">
      <alignment horizontal="center" vertical="center"/>
      <protection hidden="1"/>
    </xf>
    <xf numFmtId="38" fontId="24" fillId="8" borderId="18" xfId="2" applyFont="1" applyFill="1" applyBorder="1" applyProtection="1">
      <alignment vertical="center"/>
      <protection hidden="1"/>
    </xf>
    <xf numFmtId="38" fontId="24" fillId="8" borderId="7" xfId="2" applyFont="1" applyFill="1" applyBorder="1" applyProtection="1">
      <alignment vertical="center"/>
      <protection hidden="1"/>
    </xf>
    <xf numFmtId="176" fontId="24" fillId="8" borderId="7" xfId="1" applyNumberFormat="1" applyFont="1" applyFill="1" applyBorder="1" applyProtection="1">
      <alignment vertical="center"/>
      <protection hidden="1"/>
    </xf>
    <xf numFmtId="38" fontId="24" fillId="8" borderId="19" xfId="2" applyFont="1" applyFill="1" applyBorder="1" applyProtection="1">
      <alignment vertical="center"/>
      <protection hidden="1"/>
    </xf>
    <xf numFmtId="38" fontId="24" fillId="8" borderId="62" xfId="2" applyFont="1" applyFill="1" applyBorder="1" applyProtection="1">
      <alignment vertical="center"/>
      <protection hidden="1"/>
    </xf>
    <xf numFmtId="38" fontId="24" fillId="8" borderId="64" xfId="2" applyFont="1" applyFill="1" applyBorder="1" applyProtection="1">
      <alignment vertical="center"/>
      <protection hidden="1"/>
    </xf>
    <xf numFmtId="0" fontId="45" fillId="0" borderId="0" xfId="0" applyFont="1" applyProtection="1">
      <alignment vertical="center"/>
      <protection hidden="1"/>
    </xf>
    <xf numFmtId="0" fontId="24" fillId="0" borderId="0" xfId="0" applyFont="1">
      <alignment vertical="center"/>
    </xf>
    <xf numFmtId="0" fontId="53" fillId="0" borderId="27" xfId="0" applyFont="1" applyBorder="1" applyProtection="1">
      <alignment vertical="center"/>
      <protection locked="0"/>
    </xf>
    <xf numFmtId="0" fontId="53" fillId="0" borderId="27" xfId="0" applyFont="1" applyBorder="1" applyAlignment="1" applyProtection="1">
      <alignment horizontal="right" vertical="center"/>
      <protection locked="0"/>
    </xf>
    <xf numFmtId="185" fontId="53" fillId="0" borderId="27" xfId="1" applyNumberFormat="1" applyFont="1" applyFill="1" applyBorder="1" applyAlignment="1" applyProtection="1">
      <alignment vertical="center"/>
      <protection locked="0"/>
    </xf>
    <xf numFmtId="0" fontId="23" fillId="6" borderId="1" xfId="0" applyFont="1" applyFill="1" applyBorder="1" applyProtection="1">
      <alignment vertical="center"/>
      <protection hidden="1"/>
    </xf>
    <xf numFmtId="0" fontId="23" fillId="6" borderId="2" xfId="0" applyFont="1" applyFill="1" applyBorder="1" applyProtection="1">
      <alignment vertical="center"/>
      <protection hidden="1"/>
    </xf>
    <xf numFmtId="0" fontId="23" fillId="6" borderId="18" xfId="0" applyFont="1" applyFill="1" applyBorder="1" applyProtection="1">
      <alignment vertical="center"/>
      <protection hidden="1"/>
    </xf>
    <xf numFmtId="0" fontId="5" fillId="7" borderId="1" xfId="0" applyFont="1" applyFill="1" applyBorder="1" applyAlignment="1" applyProtection="1">
      <alignment horizontal="center" vertical="center" wrapText="1"/>
      <protection hidden="1"/>
    </xf>
    <xf numFmtId="0" fontId="5" fillId="7" borderId="2" xfId="0" applyFont="1" applyFill="1" applyBorder="1" applyAlignment="1" applyProtection="1">
      <alignment horizontal="center" vertical="center" wrapText="1"/>
      <protection hidden="1"/>
    </xf>
    <xf numFmtId="38" fontId="24" fillId="14" borderId="68" xfId="2" applyFont="1" applyFill="1" applyBorder="1" applyProtection="1">
      <alignment vertical="center"/>
      <protection hidden="1"/>
    </xf>
    <xf numFmtId="38" fontId="24" fillId="14" borderId="54" xfId="2" applyFont="1" applyFill="1" applyBorder="1" applyProtection="1">
      <alignment vertical="center"/>
      <protection hidden="1"/>
    </xf>
    <xf numFmtId="38" fontId="24" fillId="14" borderId="36" xfId="2" applyFont="1" applyFill="1" applyBorder="1" applyProtection="1">
      <alignment vertical="center"/>
      <protection hidden="1"/>
    </xf>
    <xf numFmtId="38" fontId="20" fillId="6" borderId="66" xfId="2" applyFont="1" applyFill="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14" fillId="0" borderId="13" xfId="0" applyFont="1" applyBorder="1" applyProtection="1">
      <alignment vertical="center"/>
      <protection hidden="1"/>
    </xf>
    <xf numFmtId="0" fontId="62" fillId="0" borderId="0" xfId="0" applyFont="1" applyAlignment="1" applyProtection="1">
      <alignment horizontal="left"/>
      <protection hidden="1"/>
    </xf>
    <xf numFmtId="0" fontId="49" fillId="0" borderId="0" xfId="0" applyFont="1" applyAlignment="1" applyProtection="1">
      <alignment horizontal="center"/>
      <protection hidden="1"/>
    </xf>
    <xf numFmtId="38" fontId="24" fillId="15" borderId="5" xfId="0" applyNumberFormat="1" applyFont="1" applyFill="1" applyBorder="1" applyProtection="1">
      <alignment vertical="center"/>
      <protection hidden="1"/>
    </xf>
    <xf numFmtId="38" fontId="24" fillId="15" borderId="12" xfId="2" applyFont="1" applyFill="1" applyBorder="1" applyProtection="1">
      <alignment vertical="center"/>
      <protection hidden="1"/>
    </xf>
    <xf numFmtId="176" fontId="24" fillId="15" borderId="38" xfId="1" applyNumberFormat="1" applyFont="1" applyFill="1" applyBorder="1" applyProtection="1">
      <alignment vertical="center"/>
      <protection hidden="1"/>
    </xf>
    <xf numFmtId="176" fontId="24" fillId="15" borderId="2" xfId="1" applyNumberFormat="1" applyFont="1" applyFill="1" applyBorder="1" applyProtection="1">
      <alignment vertical="center"/>
      <protection hidden="1"/>
    </xf>
    <xf numFmtId="0" fontId="43" fillId="0" borderId="0" xfId="0" applyFont="1" applyProtection="1">
      <alignment vertical="center"/>
      <protection hidden="1"/>
    </xf>
    <xf numFmtId="0" fontId="63" fillId="0" borderId="0" xfId="0" applyFont="1">
      <alignment vertical="center"/>
    </xf>
    <xf numFmtId="0" fontId="24" fillId="7" borderId="9" xfId="0" applyFont="1" applyFill="1" applyBorder="1" applyAlignment="1" applyProtection="1">
      <alignment horizontal="center" vertical="center"/>
      <protection hidden="1"/>
    </xf>
    <xf numFmtId="0" fontId="64" fillId="0" borderId="58" xfId="0" applyFont="1" applyBorder="1" applyAlignment="1" applyProtection="1">
      <alignment horizontal="center" vertical="center"/>
      <protection locked="0"/>
    </xf>
    <xf numFmtId="0" fontId="64" fillId="0" borderId="57" xfId="0" applyFont="1" applyBorder="1" applyAlignment="1" applyProtection="1">
      <alignment horizontal="center" vertical="center"/>
      <protection locked="0"/>
    </xf>
    <xf numFmtId="0" fontId="34" fillId="0" borderId="57" xfId="0" applyFont="1" applyBorder="1" applyAlignment="1" applyProtection="1">
      <alignment horizontal="center" vertical="center"/>
      <protection locked="0"/>
    </xf>
    <xf numFmtId="0" fontId="34" fillId="0" borderId="57" xfId="0" applyFont="1" applyBorder="1" applyAlignment="1" applyProtection="1">
      <alignment horizontal="center" wrapText="1"/>
      <protection locked="0"/>
    </xf>
    <xf numFmtId="183" fontId="34" fillId="0" borderId="57" xfId="0" applyNumberFormat="1" applyFont="1" applyBorder="1" applyAlignment="1" applyProtection="1">
      <alignment horizontal="center" wrapText="1"/>
      <protection locked="0"/>
    </xf>
    <xf numFmtId="0" fontId="32" fillId="0" borderId="0" xfId="0" applyFont="1" applyAlignment="1" applyProtection="1">
      <alignment horizontal="center" vertical="center"/>
      <protection hidden="1"/>
    </xf>
    <xf numFmtId="0" fontId="32" fillId="0" borderId="0" xfId="0" applyFont="1" applyProtection="1">
      <alignment vertical="center"/>
      <protection hidden="1"/>
    </xf>
    <xf numFmtId="38" fontId="32" fillId="0" borderId="0" xfId="2" applyFont="1" applyAlignment="1" applyProtection="1">
      <alignment horizontal="center" vertical="center"/>
      <protection hidden="1"/>
    </xf>
    <xf numFmtId="183" fontId="32" fillId="5" borderId="56" xfId="4" applyNumberFormat="1" applyFont="1" applyFill="1" applyBorder="1" applyAlignment="1" applyProtection="1">
      <alignment horizontal="center" vertical="center"/>
      <protection hidden="1"/>
    </xf>
    <xf numFmtId="0" fontId="65" fillId="7" borderId="58" xfId="0" applyFont="1" applyFill="1" applyBorder="1" applyAlignment="1" applyProtection="1">
      <alignment horizontal="center" vertical="center"/>
      <protection hidden="1"/>
    </xf>
    <xf numFmtId="38" fontId="34" fillId="0" borderId="58" xfId="2" applyFont="1" applyFill="1" applyBorder="1" applyAlignment="1" applyProtection="1">
      <alignment horizontal="center" vertical="center"/>
      <protection locked="0"/>
    </xf>
    <xf numFmtId="0" fontId="65" fillId="0" borderId="0" xfId="0" applyFont="1" applyProtection="1">
      <alignment vertical="center"/>
      <protection hidden="1"/>
    </xf>
    <xf numFmtId="0" fontId="65" fillId="7" borderId="57" xfId="0" applyFont="1" applyFill="1" applyBorder="1" applyAlignment="1" applyProtection="1">
      <alignment horizontal="center" vertical="center"/>
      <protection hidden="1"/>
    </xf>
    <xf numFmtId="0" fontId="32" fillId="8" borderId="57" xfId="0" applyFont="1" applyFill="1" applyBorder="1" applyAlignment="1" applyProtection="1">
      <alignment horizontal="right" vertical="center"/>
      <protection hidden="1"/>
    </xf>
    <xf numFmtId="38" fontId="34" fillId="0" borderId="57" xfId="2" applyFont="1" applyFill="1" applyBorder="1" applyAlignment="1" applyProtection="1">
      <alignment horizontal="center" vertical="center"/>
      <protection locked="0"/>
    </xf>
    <xf numFmtId="0" fontId="71" fillId="0" borderId="0" xfId="0" applyFont="1" applyAlignment="1" applyProtection="1">
      <alignment horizontal="center" vertical="center"/>
      <protection hidden="1"/>
    </xf>
    <xf numFmtId="0" fontId="73" fillId="0" borderId="0" xfId="0" applyFont="1" applyAlignment="1" applyProtection="1">
      <alignment horizontal="left" vertical="center"/>
      <protection hidden="1"/>
    </xf>
    <xf numFmtId="0" fontId="32" fillId="0" borderId="0" xfId="0" applyFont="1" applyAlignment="1" applyProtection="1">
      <alignment horizontal="right" vertical="center"/>
      <protection hidden="1"/>
    </xf>
    <xf numFmtId="38" fontId="32" fillId="0" borderId="0" xfId="2" applyFont="1" applyAlignment="1" applyProtection="1">
      <alignment horizontal="right" vertical="center"/>
      <protection hidden="1"/>
    </xf>
    <xf numFmtId="38" fontId="34" fillId="0" borderId="58" xfId="2" applyFont="1" applyFill="1" applyBorder="1" applyAlignment="1" applyProtection="1">
      <alignment horizontal="right" vertical="center"/>
      <protection locked="0"/>
    </xf>
    <xf numFmtId="186" fontId="23" fillId="6" borderId="6" xfId="0" applyNumberFormat="1" applyFont="1" applyFill="1" applyBorder="1" applyProtection="1">
      <alignment vertical="center"/>
      <protection hidden="1"/>
    </xf>
    <xf numFmtId="186" fontId="23" fillId="6" borderId="7" xfId="0" applyNumberFormat="1" applyFont="1" applyFill="1" applyBorder="1" applyProtection="1">
      <alignment vertical="center"/>
      <protection hidden="1"/>
    </xf>
    <xf numFmtId="186" fontId="23" fillId="6" borderId="19" xfId="0" applyNumberFormat="1" applyFont="1" applyFill="1" applyBorder="1" applyProtection="1">
      <alignment vertical="center"/>
      <protection hidden="1"/>
    </xf>
    <xf numFmtId="0" fontId="77" fillId="0" borderId="0" xfId="0" applyFont="1" applyProtection="1">
      <alignment vertical="center"/>
      <protection hidden="1"/>
    </xf>
    <xf numFmtId="0" fontId="33" fillId="0" borderId="58" xfId="0" applyFont="1" applyBorder="1" applyAlignment="1" applyProtection="1">
      <alignment horizontal="center" vertical="center"/>
      <protection locked="0"/>
    </xf>
    <xf numFmtId="0" fontId="34" fillId="0" borderId="58" xfId="0" applyFont="1" applyBorder="1" applyAlignment="1" applyProtection="1">
      <alignment horizontal="center" vertical="center"/>
      <protection locked="0"/>
    </xf>
    <xf numFmtId="0" fontId="34" fillId="0" borderId="58" xfId="0" applyFont="1" applyBorder="1" applyAlignment="1" applyProtection="1">
      <alignment horizontal="center" wrapText="1"/>
      <protection locked="0"/>
    </xf>
    <xf numFmtId="183" fontId="34" fillId="0" borderId="58" xfId="0" applyNumberFormat="1" applyFont="1" applyBorder="1" applyAlignment="1" applyProtection="1">
      <alignment horizontal="center" wrapText="1"/>
      <protection locked="0"/>
    </xf>
    <xf numFmtId="0" fontId="32" fillId="8" borderId="58" xfId="0" applyFont="1" applyFill="1" applyBorder="1" applyAlignment="1" applyProtection="1">
      <alignment horizontal="right" vertical="center"/>
      <protection hidden="1"/>
    </xf>
    <xf numFmtId="38" fontId="24" fillId="18" borderId="13" xfId="2" applyFont="1" applyFill="1" applyBorder="1" applyProtection="1">
      <alignment vertical="center"/>
      <protection hidden="1"/>
    </xf>
    <xf numFmtId="38" fontId="24" fillId="18" borderId="25" xfId="2" applyFont="1" applyFill="1" applyBorder="1" applyProtection="1">
      <alignment vertical="center"/>
      <protection hidden="1"/>
    </xf>
    <xf numFmtId="0" fontId="5" fillId="17" borderId="44" xfId="0" applyFont="1" applyFill="1" applyBorder="1" applyAlignment="1" applyProtection="1">
      <alignment horizontal="center" vertical="center" wrapText="1"/>
      <protection hidden="1"/>
    </xf>
    <xf numFmtId="0" fontId="5" fillId="17" borderId="49" xfId="0" applyFont="1" applyFill="1" applyBorder="1" applyAlignment="1" applyProtection="1">
      <alignment horizontal="center" vertical="center" wrapText="1"/>
      <protection hidden="1"/>
    </xf>
    <xf numFmtId="0" fontId="78" fillId="0" borderId="0" xfId="0" applyFont="1" applyProtection="1">
      <alignment vertical="center"/>
      <protection hidden="1"/>
    </xf>
    <xf numFmtId="0" fontId="0" fillId="0" borderId="0" xfId="0" applyProtection="1">
      <alignment vertical="center"/>
      <protection locked="0"/>
    </xf>
    <xf numFmtId="0" fontId="0" fillId="0" borderId="0" xfId="0" applyAlignment="1" applyProtection="1">
      <alignment horizontal="center" vertical="center"/>
      <protection locked="0"/>
    </xf>
    <xf numFmtId="0" fontId="40" fillId="0" borderId="0" xfId="0" applyFont="1">
      <alignment vertical="center"/>
    </xf>
    <xf numFmtId="38" fontId="0" fillId="0" borderId="0" xfId="0" applyNumberFormat="1" applyProtection="1">
      <alignment vertical="center"/>
      <protection locked="0"/>
    </xf>
    <xf numFmtId="40" fontId="34" fillId="0" borderId="58" xfId="2" applyNumberFormat="1" applyFont="1" applyFill="1" applyBorder="1" applyAlignment="1" applyProtection="1">
      <alignment horizontal="center" vertical="center"/>
      <protection locked="0"/>
    </xf>
    <xf numFmtId="40" fontId="34" fillId="0" borderId="57" xfId="2" applyNumberFormat="1" applyFont="1" applyFill="1" applyBorder="1" applyAlignment="1" applyProtection="1">
      <alignment horizontal="center"/>
      <protection locked="0"/>
    </xf>
    <xf numFmtId="38" fontId="24" fillId="6" borderId="2" xfId="0" applyNumberFormat="1" applyFont="1" applyFill="1" applyBorder="1" applyProtection="1">
      <alignment vertical="center"/>
      <protection hidden="1"/>
    </xf>
    <xf numFmtId="0" fontId="26" fillId="0" borderId="0" xfId="0" applyFont="1" applyAlignment="1" applyProtection="1">
      <alignment horizontal="center" vertical="center"/>
      <protection hidden="1"/>
    </xf>
    <xf numFmtId="0" fontId="24" fillId="0" borderId="0" xfId="0" applyFont="1" applyAlignment="1" applyProtection="1">
      <alignment horizontal="center" vertical="center"/>
      <protection hidden="1"/>
    </xf>
    <xf numFmtId="0" fontId="38" fillId="0" borderId="0" xfId="0" applyFont="1" applyAlignment="1" applyProtection="1">
      <alignment horizontal="center" vertical="center"/>
      <protection hidden="1"/>
    </xf>
    <xf numFmtId="38" fontId="38" fillId="0" borderId="0" xfId="2" applyFont="1" applyFill="1" applyBorder="1" applyAlignment="1" applyProtection="1">
      <alignment horizontal="center" vertical="center"/>
      <protection hidden="1"/>
    </xf>
    <xf numFmtId="0" fontId="18" fillId="0" borderId="0" xfId="0" applyFont="1" applyAlignment="1" applyProtection="1">
      <alignment horizontal="right" vertical="center"/>
      <protection hidden="1"/>
    </xf>
    <xf numFmtId="0" fontId="81" fillId="0" borderId="0" xfId="0" applyFont="1" applyProtection="1">
      <alignment vertical="center"/>
      <protection hidden="1"/>
    </xf>
    <xf numFmtId="0" fontId="24" fillId="0" borderId="0" xfId="0" applyFont="1" applyProtection="1">
      <alignment vertical="center"/>
      <protection locked="0"/>
    </xf>
    <xf numFmtId="0" fontId="16" fillId="0" borderId="0" xfId="0" applyFont="1">
      <alignment vertical="center"/>
    </xf>
    <xf numFmtId="0" fontId="97" fillId="0" borderId="0" xfId="0" applyFont="1" applyProtection="1">
      <alignment vertical="center"/>
      <protection hidden="1"/>
    </xf>
    <xf numFmtId="0" fontId="98" fillId="16" borderId="0" xfId="0" applyFont="1" applyFill="1" applyProtection="1">
      <alignment vertical="center"/>
      <protection hidden="1"/>
    </xf>
    <xf numFmtId="0" fontId="100" fillId="16" borderId="2" xfId="0" applyFont="1" applyFill="1" applyBorder="1" applyAlignment="1" applyProtection="1">
      <alignment horizontal="center" vertical="center"/>
      <protection hidden="1"/>
    </xf>
    <xf numFmtId="0" fontId="101" fillId="16" borderId="0" xfId="0" applyFont="1" applyFill="1" applyAlignment="1" applyProtection="1">
      <alignment horizontal="right" vertical="center"/>
      <protection hidden="1"/>
    </xf>
    <xf numFmtId="38" fontId="23" fillId="0" borderId="0" xfId="2" applyFont="1" applyFill="1" applyBorder="1" applyAlignment="1" applyProtection="1">
      <alignment horizontal="center" vertical="center"/>
      <protection hidden="1"/>
    </xf>
    <xf numFmtId="0" fontId="102" fillId="0" borderId="0" xfId="0" applyFont="1">
      <alignment vertical="center"/>
    </xf>
    <xf numFmtId="38" fontId="101" fillId="16" borderId="2" xfId="2" applyFont="1" applyFill="1" applyBorder="1" applyAlignment="1" applyProtection="1">
      <alignment horizontal="center" vertical="center"/>
      <protection hidden="1"/>
    </xf>
    <xf numFmtId="0" fontId="28" fillId="7" borderId="17" xfId="0" applyFont="1" applyFill="1" applyBorder="1" applyAlignment="1" applyProtection="1">
      <alignment horizontal="center" vertical="center"/>
      <protection hidden="1"/>
    </xf>
    <xf numFmtId="38" fontId="105" fillId="16" borderId="2" xfId="2" applyFont="1" applyFill="1" applyBorder="1" applyAlignment="1" applyProtection="1">
      <alignment horizontal="center" vertical="center"/>
      <protection hidden="1"/>
    </xf>
    <xf numFmtId="38" fontId="24" fillId="6" borderId="27" xfId="0" applyNumberFormat="1" applyFont="1" applyFill="1" applyBorder="1" applyAlignment="1" applyProtection="1">
      <alignment horizontal="center" vertical="center"/>
      <protection hidden="1"/>
    </xf>
    <xf numFmtId="0" fontId="5" fillId="17" borderId="27" xfId="0" applyFont="1" applyFill="1" applyBorder="1" applyAlignment="1" applyProtection="1">
      <alignment horizontal="center" vertical="center" wrapText="1"/>
      <protection hidden="1"/>
    </xf>
    <xf numFmtId="183" fontId="34" fillId="0" borderId="0" xfId="4" applyNumberFormat="1" applyFont="1" applyAlignment="1" applyProtection="1">
      <alignment horizontal="center" vertical="center"/>
      <protection locked="0"/>
    </xf>
    <xf numFmtId="0" fontId="35" fillId="0" borderId="0" xfId="0" applyFont="1" applyProtection="1">
      <alignment vertical="center"/>
      <protection hidden="1"/>
    </xf>
    <xf numFmtId="0" fontId="14" fillId="0" borderId="0" xfId="0" applyFont="1" applyAlignment="1" applyProtection="1">
      <alignment horizontal="right" vertical="center"/>
      <protection hidden="1"/>
    </xf>
    <xf numFmtId="38" fontId="37" fillId="0" borderId="0" xfId="2" applyFont="1" applyFill="1" applyBorder="1" applyProtection="1">
      <alignment vertical="center"/>
      <protection hidden="1"/>
    </xf>
    <xf numFmtId="38" fontId="24" fillId="6" borderId="19" xfId="0" applyNumberFormat="1" applyFont="1" applyFill="1" applyBorder="1" applyAlignment="1" applyProtection="1">
      <alignment horizontal="center" vertical="center"/>
      <protection hidden="1"/>
    </xf>
    <xf numFmtId="0" fontId="104" fillId="16" borderId="2" xfId="0" applyFont="1" applyFill="1" applyBorder="1" applyAlignment="1" applyProtection="1">
      <alignment horizontal="center" vertical="center"/>
      <protection hidden="1"/>
    </xf>
    <xf numFmtId="0" fontId="101" fillId="16" borderId="2" xfId="0" applyFont="1" applyFill="1" applyBorder="1" applyAlignment="1" applyProtection="1">
      <alignment horizontal="center" vertical="center"/>
      <protection hidden="1"/>
    </xf>
    <xf numFmtId="38" fontId="32" fillId="8" borderId="57" xfId="2" applyFont="1" applyFill="1" applyBorder="1" applyAlignment="1" applyProtection="1">
      <alignment horizontal="right"/>
      <protection hidden="1"/>
    </xf>
    <xf numFmtId="38" fontId="70" fillId="8" borderId="57" xfId="2" applyFont="1" applyFill="1" applyBorder="1" applyAlignment="1" applyProtection="1">
      <alignment horizontal="right"/>
      <protection hidden="1"/>
    </xf>
    <xf numFmtId="38" fontId="70" fillId="8" borderId="58" xfId="2" applyFont="1" applyFill="1" applyBorder="1" applyAlignment="1" applyProtection="1">
      <alignment horizontal="right" vertical="center"/>
      <protection hidden="1"/>
    </xf>
    <xf numFmtId="38" fontId="70" fillId="8" borderId="57" xfId="2" applyFont="1" applyFill="1" applyBorder="1" applyAlignment="1" applyProtection="1">
      <alignment horizontal="right" vertical="center"/>
      <protection hidden="1"/>
    </xf>
    <xf numFmtId="38" fontId="70" fillId="8" borderId="74" xfId="2" applyFont="1" applyFill="1" applyBorder="1" applyAlignment="1" applyProtection="1">
      <alignment horizontal="right" vertical="center"/>
      <protection hidden="1"/>
    </xf>
    <xf numFmtId="0" fontId="72" fillId="0" borderId="0" xfId="0" applyFont="1" applyAlignment="1" applyProtection="1">
      <alignment horizontal="center" vertical="center"/>
      <protection locked="0"/>
    </xf>
    <xf numFmtId="0" fontId="72" fillId="0" borderId="0" xfId="0" applyFont="1" applyProtection="1">
      <alignment vertical="center"/>
      <protection locked="0"/>
    </xf>
    <xf numFmtId="0" fontId="66" fillId="0" borderId="0" xfId="0" applyFont="1" applyAlignment="1" applyProtection="1">
      <alignment horizontal="left" vertical="center"/>
      <protection locked="0"/>
    </xf>
    <xf numFmtId="0" fontId="67"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32" fillId="0" borderId="0" xfId="0" applyFont="1" applyProtection="1">
      <alignment vertical="center"/>
      <protection locked="0"/>
    </xf>
    <xf numFmtId="0" fontId="67" fillId="0" borderId="0" xfId="0" applyFont="1" applyAlignment="1" applyProtection="1">
      <alignment horizontal="center" vertical="center"/>
      <protection locked="0"/>
    </xf>
    <xf numFmtId="0" fontId="5" fillId="0" borderId="0" xfId="0" applyFont="1" applyAlignment="1" applyProtection="1">
      <alignment vertical="top"/>
      <protection locked="0"/>
    </xf>
    <xf numFmtId="0" fontId="69" fillId="0" borderId="0" xfId="0" applyFont="1" applyAlignment="1" applyProtection="1">
      <alignment horizontal="left" vertical="center"/>
      <protection locked="0"/>
    </xf>
    <xf numFmtId="0" fontId="67" fillId="0" borderId="0" xfId="0" applyFont="1" applyProtection="1">
      <alignment vertical="center"/>
      <protection locked="0"/>
    </xf>
    <xf numFmtId="0" fontId="32" fillId="0" borderId="0" xfId="0" applyFont="1" applyAlignment="1" applyProtection="1">
      <alignment horizontal="center" vertical="center"/>
      <protection locked="0"/>
    </xf>
    <xf numFmtId="0" fontId="32" fillId="0" borderId="0" xfId="0" applyFont="1" applyAlignment="1" applyProtection="1">
      <alignment horizontal="right" vertical="center"/>
      <protection locked="0"/>
    </xf>
    <xf numFmtId="38" fontId="34" fillId="0" borderId="0" xfId="2" applyFont="1" applyBorder="1" applyAlignment="1" applyProtection="1">
      <alignment horizontal="right" vertical="center"/>
      <protection locked="0"/>
    </xf>
    <xf numFmtId="38" fontId="32" fillId="0" borderId="0" xfId="2" applyFont="1" applyAlignment="1" applyProtection="1">
      <alignment horizontal="right" vertical="center"/>
      <protection locked="0"/>
    </xf>
    <xf numFmtId="38" fontId="34" fillId="0" borderId="0" xfId="2" applyFont="1" applyBorder="1" applyAlignment="1" applyProtection="1">
      <alignment horizontal="center" vertical="center"/>
      <protection locked="0"/>
    </xf>
    <xf numFmtId="37" fontId="32" fillId="4" borderId="55" xfId="4" applyFont="1" applyFill="1" applyBorder="1" applyAlignment="1" applyProtection="1">
      <alignment horizontal="center" vertical="center"/>
      <protection locked="0"/>
    </xf>
    <xf numFmtId="37" fontId="32" fillId="0" borderId="0" xfId="4" applyFont="1" applyAlignment="1" applyProtection="1">
      <alignment horizontal="center" vertical="center"/>
      <protection locked="0"/>
    </xf>
    <xf numFmtId="38" fontId="32" fillId="0" borderId="0" xfId="2" applyFont="1" applyFill="1" applyBorder="1" applyAlignment="1" applyProtection="1">
      <alignment horizontal="right" vertical="center"/>
      <protection locked="0"/>
    </xf>
    <xf numFmtId="0" fontId="62" fillId="0" borderId="0" xfId="0" applyFont="1" applyAlignment="1" applyProtection="1">
      <alignment horizontal="left"/>
      <protection locked="0"/>
    </xf>
    <xf numFmtId="38" fontId="32" fillId="0" borderId="0" xfId="2" applyFont="1" applyAlignment="1" applyProtection="1">
      <alignment horizontal="center" vertical="center"/>
      <protection locked="0"/>
    </xf>
    <xf numFmtId="38" fontId="32" fillId="0" borderId="0" xfId="0" applyNumberFormat="1" applyFont="1" applyAlignment="1" applyProtection="1">
      <alignment horizontal="right" vertical="center"/>
      <protection locked="0"/>
    </xf>
    <xf numFmtId="38" fontId="32" fillId="0" borderId="0" xfId="0" applyNumberFormat="1" applyFont="1" applyAlignment="1" applyProtection="1">
      <alignment horizontal="center" vertical="center"/>
      <protection locked="0"/>
    </xf>
    <xf numFmtId="38" fontId="67" fillId="0" borderId="0" xfId="2" applyFont="1" applyFill="1" applyBorder="1" applyAlignment="1" applyProtection="1">
      <alignment horizontal="right" vertical="center"/>
      <protection locked="0"/>
    </xf>
    <xf numFmtId="183" fontId="32" fillId="0" borderId="0" xfId="4" applyNumberFormat="1" applyFont="1" applyAlignment="1" applyProtection="1">
      <alignment horizontal="center" vertical="center"/>
      <protection locked="0"/>
    </xf>
    <xf numFmtId="38" fontId="65" fillId="0" borderId="0" xfId="2" applyFont="1" applyFill="1" applyBorder="1" applyAlignment="1" applyProtection="1">
      <alignment horizontal="center" vertical="center"/>
      <protection locked="0"/>
    </xf>
    <xf numFmtId="38" fontId="79" fillId="0" borderId="0" xfId="0" applyNumberFormat="1" applyFont="1" applyAlignment="1" applyProtection="1">
      <alignment horizontal="center" vertical="center"/>
      <protection locked="0"/>
    </xf>
    <xf numFmtId="0" fontId="36" fillId="0" borderId="0" xfId="0" applyFont="1" applyAlignment="1" applyProtection="1">
      <alignment horizontal="left" vertical="center"/>
      <protection locked="0"/>
    </xf>
    <xf numFmtId="38" fontId="32" fillId="0" borderId="0" xfId="2" applyFont="1" applyFill="1" applyBorder="1" applyAlignment="1" applyProtection="1">
      <alignment horizontal="left" vertical="center"/>
      <protection locked="0"/>
    </xf>
    <xf numFmtId="38" fontId="65" fillId="9" borderId="3" xfId="0" applyNumberFormat="1" applyFont="1" applyFill="1" applyBorder="1" applyProtection="1">
      <alignment vertical="center"/>
      <protection locked="0"/>
    </xf>
    <xf numFmtId="38" fontId="65" fillId="9" borderId="5" xfId="0" applyNumberFormat="1" applyFont="1" applyFill="1" applyBorder="1" applyProtection="1">
      <alignment vertical="center"/>
      <protection locked="0"/>
    </xf>
    <xf numFmtId="38" fontId="32" fillId="0" borderId="0" xfId="0" applyNumberFormat="1" applyFont="1" applyAlignment="1" applyProtection="1">
      <alignment horizontal="left" vertical="center"/>
      <protection locked="0"/>
    </xf>
    <xf numFmtId="0" fontId="32" fillId="0" borderId="13" xfId="0" quotePrefix="1" applyFont="1" applyBorder="1" applyAlignment="1" applyProtection="1">
      <alignment horizontal="right" vertical="center"/>
      <protection locked="0"/>
    </xf>
    <xf numFmtId="38" fontId="32" fillId="8" borderId="10" xfId="2" applyFont="1" applyFill="1" applyBorder="1" applyAlignment="1" applyProtection="1">
      <alignment horizontal="left" vertical="center"/>
      <protection locked="0"/>
    </xf>
    <xf numFmtId="0" fontId="32" fillId="8" borderId="10" xfId="0" applyFont="1" applyFill="1" applyBorder="1" applyAlignment="1" applyProtection="1">
      <alignment horizontal="left" vertical="center"/>
      <protection locked="0"/>
    </xf>
    <xf numFmtId="38" fontId="32" fillId="8" borderId="46" xfId="2" applyFont="1" applyFill="1" applyBorder="1" applyAlignment="1" applyProtection="1">
      <alignment horizontal="center" vertical="center"/>
      <protection locked="0"/>
    </xf>
    <xf numFmtId="38" fontId="32" fillId="8" borderId="37" xfId="2" applyFont="1" applyFill="1" applyBorder="1" applyAlignment="1" applyProtection="1">
      <alignment horizontal="center" vertical="center"/>
      <protection locked="0"/>
    </xf>
    <xf numFmtId="38" fontId="32" fillId="0" borderId="0" xfId="2" applyFont="1" applyFill="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65" fillId="7" borderId="46" xfId="0" applyFont="1" applyFill="1" applyBorder="1" applyAlignment="1" applyProtection="1">
      <alignment horizontal="center" vertical="center"/>
      <protection locked="0"/>
    </xf>
    <xf numFmtId="0" fontId="32" fillId="7" borderId="2" xfId="0" applyFont="1" applyFill="1" applyBorder="1" applyAlignment="1" applyProtection="1">
      <alignment horizontal="center" vertical="center"/>
      <protection locked="0"/>
    </xf>
    <xf numFmtId="0" fontId="32" fillId="8" borderId="5" xfId="0" applyFont="1" applyFill="1" applyBorder="1" applyAlignment="1" applyProtection="1">
      <alignment horizontal="center" vertical="center"/>
      <protection locked="0"/>
    </xf>
    <xf numFmtId="0" fontId="32" fillId="8" borderId="2" xfId="0" applyFont="1" applyFill="1" applyBorder="1" applyAlignment="1" applyProtection="1">
      <alignment horizontal="center" vertical="center"/>
      <protection locked="0"/>
    </xf>
    <xf numFmtId="0" fontId="32" fillId="8" borderId="2" xfId="0" applyFont="1" applyFill="1" applyBorder="1" applyAlignment="1" applyProtection="1">
      <alignment horizontal="center" vertical="center" wrapText="1"/>
      <protection locked="0"/>
    </xf>
    <xf numFmtId="0" fontId="32" fillId="14" borderId="10" xfId="0" applyFont="1" applyFill="1" applyBorder="1" applyAlignment="1" applyProtection="1">
      <alignment horizontal="left" vertical="center"/>
      <protection locked="0"/>
    </xf>
    <xf numFmtId="0" fontId="32" fillId="14" borderId="10" xfId="0" applyFont="1" applyFill="1" applyBorder="1" applyAlignment="1" applyProtection="1">
      <alignment horizontal="left" vertical="center" wrapText="1"/>
      <protection locked="0"/>
    </xf>
    <xf numFmtId="0" fontId="32" fillId="14" borderId="46" xfId="0" applyFont="1" applyFill="1" applyBorder="1" applyAlignment="1" applyProtection="1">
      <alignment vertical="center" wrapText="1"/>
      <protection locked="0"/>
    </xf>
    <xf numFmtId="0" fontId="65" fillId="7" borderId="13" xfId="0" applyFont="1" applyFill="1" applyBorder="1" applyAlignment="1" applyProtection="1">
      <alignment horizontal="center" vertical="center"/>
      <protection locked="0"/>
    </xf>
    <xf numFmtId="0" fontId="32" fillId="8" borderId="3" xfId="0" applyFont="1" applyFill="1" applyBorder="1" applyAlignment="1" applyProtection="1">
      <alignment horizontal="center" vertical="center" wrapText="1"/>
      <protection locked="0"/>
    </xf>
    <xf numFmtId="9" fontId="46" fillId="16" borderId="27" xfId="1" applyFont="1" applyFill="1" applyBorder="1" applyAlignment="1" applyProtection="1">
      <alignment horizontal="center" vertical="center"/>
    </xf>
    <xf numFmtId="0" fontId="55" fillId="0" borderId="0" xfId="0" applyFont="1" applyAlignment="1" applyProtection="1">
      <alignment horizontal="left" vertical="center"/>
      <protection locked="0"/>
    </xf>
    <xf numFmtId="0" fontId="56" fillId="0" borderId="0" xfId="0" applyFont="1" applyProtection="1">
      <alignment vertical="center"/>
      <protection locked="0"/>
    </xf>
    <xf numFmtId="0" fontId="9" fillId="0" borderId="0" xfId="0" applyFont="1" applyProtection="1">
      <alignment vertical="center"/>
      <protection locked="0"/>
    </xf>
    <xf numFmtId="0" fontId="15" fillId="0" borderId="0" xfId="0" applyFont="1" applyProtection="1">
      <alignment vertical="center"/>
      <protection locked="0"/>
    </xf>
    <xf numFmtId="0" fontId="44" fillId="0" borderId="0" xfId="0" applyFont="1" applyProtection="1">
      <alignment vertical="center"/>
      <protection locked="0"/>
    </xf>
    <xf numFmtId="0" fontId="48" fillId="0" borderId="0" xfId="0" applyFont="1" applyProtection="1">
      <alignment vertical="center"/>
      <protection locked="0"/>
    </xf>
    <xf numFmtId="0" fontId="42" fillId="0" borderId="0" xfId="0" applyFont="1" applyAlignment="1" applyProtection="1">
      <alignment horizontal="left" vertical="center"/>
      <protection locked="0"/>
    </xf>
    <xf numFmtId="0" fontId="47" fillId="0" borderId="0" xfId="0" applyFont="1" applyProtection="1">
      <alignment vertical="center"/>
      <protection locked="0"/>
    </xf>
    <xf numFmtId="0" fontId="42" fillId="0" borderId="0" xfId="0" applyFont="1" applyAlignment="1" applyProtection="1">
      <alignment horizontal="center" vertical="center"/>
      <protection locked="0"/>
    </xf>
    <xf numFmtId="0" fontId="4" fillId="6" borderId="27" xfId="0" applyFont="1" applyFill="1" applyBorder="1" applyAlignment="1" applyProtection="1">
      <alignment horizontal="center" vertical="center" wrapText="1"/>
      <protection locked="0"/>
    </xf>
    <xf numFmtId="0" fontId="4" fillId="6" borderId="27" xfId="0" applyFont="1" applyFill="1" applyBorder="1" applyAlignment="1" applyProtection="1">
      <alignment horizontal="center" vertical="center"/>
      <protection locked="0"/>
    </xf>
    <xf numFmtId="0" fontId="2" fillId="0" borderId="0" xfId="0" applyFont="1" applyAlignment="1" applyProtection="1">
      <alignment horizontal="center" vertical="top"/>
      <protection locked="0"/>
    </xf>
    <xf numFmtId="177" fontId="11" fillId="0" borderId="0" xfId="1" applyNumberFormat="1" applyFont="1" applyFill="1" applyBorder="1" applyAlignment="1" applyProtection="1">
      <alignment vertical="center"/>
      <protection locked="0"/>
    </xf>
    <xf numFmtId="0" fontId="8" fillId="0" borderId="0" xfId="0" applyFont="1" applyAlignment="1" applyProtection="1">
      <alignment vertical="top"/>
      <protection locked="0"/>
    </xf>
    <xf numFmtId="0" fontId="41" fillId="0" borderId="0" xfId="0" applyFont="1" applyProtection="1">
      <alignment vertical="center"/>
      <protection locked="0"/>
    </xf>
    <xf numFmtId="0" fontId="51" fillId="0" borderId="0" xfId="0" applyFont="1" applyAlignment="1" applyProtection="1">
      <alignment horizontal="center" vertical="center"/>
      <protection locked="0"/>
    </xf>
    <xf numFmtId="0" fontId="50" fillId="0" borderId="0" xfId="3" applyFont="1" applyFill="1" applyProtection="1">
      <alignment vertical="center"/>
      <protection locked="0"/>
    </xf>
    <xf numFmtId="0" fontId="21"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14" fillId="0" borderId="0" xfId="0" applyFont="1" applyProtection="1">
      <alignment vertical="center"/>
      <protection locked="0"/>
    </xf>
    <xf numFmtId="10" fontId="25" fillId="0" borderId="66" xfId="0" applyNumberFormat="1" applyFont="1" applyBorder="1" applyAlignment="1" applyProtection="1">
      <alignment horizontal="center" vertical="center"/>
      <protection locked="0"/>
    </xf>
    <xf numFmtId="10" fontId="25" fillId="0" borderId="36" xfId="0" applyNumberFormat="1" applyFont="1" applyBorder="1" applyAlignment="1" applyProtection="1">
      <alignment horizontal="center" vertical="center"/>
      <protection locked="0"/>
    </xf>
    <xf numFmtId="10" fontId="42" fillId="0" borderId="0" xfId="0" applyNumberFormat="1" applyFont="1" applyAlignment="1" applyProtection="1">
      <alignment horizontal="center" vertical="center"/>
      <protection locked="0"/>
    </xf>
    <xf numFmtId="184" fontId="42" fillId="0" borderId="0" xfId="0" applyNumberFormat="1" applyFont="1" applyProtection="1">
      <alignment vertical="center"/>
      <protection locked="0"/>
    </xf>
    <xf numFmtId="184" fontId="42" fillId="0" borderId="0" xfId="0" applyNumberFormat="1" applyFont="1" applyAlignment="1" applyProtection="1">
      <alignment horizontal="right" vertical="center"/>
      <protection locked="0"/>
    </xf>
    <xf numFmtId="181" fontId="0" fillId="0" borderId="0" xfId="0" applyNumberFormat="1" applyAlignment="1" applyProtection="1">
      <alignment horizontal="center" vertical="center"/>
      <protection locked="0"/>
    </xf>
    <xf numFmtId="0" fontId="24" fillId="0" borderId="0" xfId="0" applyFont="1" applyAlignment="1" applyProtection="1">
      <alignment horizontal="center" vertical="center"/>
      <protection locked="0"/>
    </xf>
    <xf numFmtId="0" fontId="42" fillId="6" borderId="27" xfId="0" applyFont="1" applyFill="1" applyBorder="1" applyAlignment="1" applyProtection="1">
      <alignment horizontal="center" vertical="center"/>
      <protection locked="0"/>
    </xf>
    <xf numFmtId="0" fontId="42" fillId="6" borderId="71" xfId="0" applyFont="1" applyFill="1" applyBorder="1" applyAlignment="1" applyProtection="1">
      <alignment horizontal="center" vertical="center"/>
      <protection locked="0"/>
    </xf>
    <xf numFmtId="0" fontId="42" fillId="6" borderId="52" xfId="0" applyFont="1" applyFill="1" applyBorder="1" applyAlignment="1" applyProtection="1">
      <alignment horizontal="center" vertical="center"/>
      <protection locked="0"/>
    </xf>
    <xf numFmtId="0" fontId="42" fillId="22" borderId="27" xfId="0" applyFont="1" applyFill="1" applyBorder="1" applyAlignment="1" applyProtection="1">
      <alignment horizontal="center" vertical="center"/>
      <protection locked="0"/>
    </xf>
    <xf numFmtId="0" fontId="0" fillId="16" borderId="41" xfId="0" applyFill="1" applyBorder="1" applyAlignment="1" applyProtection="1">
      <alignment horizontal="center" vertical="center"/>
      <protection locked="0"/>
    </xf>
    <xf numFmtId="0" fontId="26" fillId="0" borderId="43" xfId="0" applyFont="1" applyBorder="1" applyAlignment="1" applyProtection="1">
      <alignment horizontal="center" vertical="center"/>
      <protection locked="0"/>
    </xf>
    <xf numFmtId="38" fontId="26" fillId="0" borderId="41" xfId="2" applyFont="1" applyBorder="1" applyProtection="1">
      <alignment vertical="center"/>
      <protection locked="0"/>
    </xf>
    <xf numFmtId="38" fontId="26" fillId="0" borderId="44" xfId="2" applyFont="1" applyBorder="1" applyProtection="1">
      <alignment vertical="center"/>
      <protection locked="0"/>
    </xf>
    <xf numFmtId="9" fontId="26" fillId="0" borderId="45" xfId="1" applyFont="1" applyBorder="1" applyAlignment="1" applyProtection="1">
      <alignment horizontal="center" vertical="center"/>
      <protection locked="0"/>
    </xf>
    <xf numFmtId="9" fontId="26" fillId="0" borderId="43" xfId="1" applyFont="1" applyBorder="1" applyAlignment="1" applyProtection="1">
      <alignment horizontal="center" vertical="center"/>
      <protection locked="0"/>
    </xf>
    <xf numFmtId="38" fontId="60" fillId="0" borderId="66" xfId="2" applyFont="1" applyFill="1" applyBorder="1" applyAlignment="1" applyProtection="1">
      <alignment horizontal="center" vertical="center"/>
      <protection locked="0"/>
    </xf>
    <xf numFmtId="10" fontId="18" fillId="0" borderId="66" xfId="0" applyNumberFormat="1" applyFont="1" applyBorder="1" applyAlignment="1" applyProtection="1">
      <alignment horizontal="center" vertical="center"/>
      <protection locked="0"/>
    </xf>
    <xf numFmtId="38" fontId="58" fillId="0" borderId="66" xfId="2" applyFont="1" applyFill="1" applyBorder="1" applyAlignment="1" applyProtection="1">
      <alignment horizontal="center" vertical="center"/>
      <protection locked="0"/>
    </xf>
    <xf numFmtId="38" fontId="58" fillId="0" borderId="27" xfId="2" applyFont="1" applyFill="1" applyBorder="1" applyAlignment="1" applyProtection="1">
      <alignment horizontal="center" vertical="center"/>
      <protection locked="0"/>
    </xf>
    <xf numFmtId="9" fontId="25" fillId="0" borderId="27" xfId="1" applyFont="1" applyBorder="1" applyAlignment="1" applyProtection="1">
      <alignment horizontal="center" vertical="center"/>
      <protection locked="0"/>
    </xf>
    <xf numFmtId="38" fontId="25" fillId="0" borderId="0" xfId="2" applyFont="1" applyBorder="1" applyProtection="1">
      <alignment vertical="center"/>
      <protection locked="0"/>
    </xf>
    <xf numFmtId="0" fontId="25" fillId="0" borderId="0" xfId="0" applyFont="1" applyAlignment="1" applyProtection="1">
      <alignment horizontal="center" vertical="center"/>
      <protection locked="0"/>
    </xf>
    <xf numFmtId="0" fontId="46" fillId="16" borderId="27" xfId="0" applyFont="1" applyFill="1" applyBorder="1" applyAlignment="1">
      <alignment horizontal="right" vertical="center"/>
    </xf>
    <xf numFmtId="0" fontId="102" fillId="25" borderId="0" xfId="0" applyFont="1" applyFill="1">
      <alignment vertical="center"/>
    </xf>
    <xf numFmtId="0" fontId="19" fillId="25" borderId="0" xfId="0" applyFont="1" applyFill="1">
      <alignment vertical="center"/>
    </xf>
    <xf numFmtId="0" fontId="28" fillId="25" borderId="0" xfId="0" applyFont="1" applyFill="1">
      <alignment vertical="center"/>
    </xf>
    <xf numFmtId="0" fontId="20" fillId="21" borderId="3" xfId="0" applyFont="1" applyFill="1" applyBorder="1" applyAlignment="1">
      <alignment horizontal="center" vertical="center"/>
    </xf>
    <xf numFmtId="0" fontId="91" fillId="11" borderId="2" xfId="0" applyFont="1" applyFill="1" applyBorder="1" applyAlignment="1">
      <alignment horizontal="center" vertical="center"/>
    </xf>
    <xf numFmtId="0" fontId="20" fillId="21" borderId="9" xfId="0" applyFont="1" applyFill="1" applyBorder="1" applyAlignment="1">
      <alignment horizontal="center" vertical="center" wrapText="1"/>
    </xf>
    <xf numFmtId="0" fontId="28" fillId="7" borderId="2" xfId="0" applyFont="1" applyFill="1" applyBorder="1" applyAlignment="1">
      <alignment horizontal="center" vertical="center" wrapText="1"/>
    </xf>
    <xf numFmtId="0" fontId="20" fillId="7" borderId="2" xfId="0" applyFont="1" applyFill="1" applyBorder="1" applyAlignment="1">
      <alignment horizontal="center" vertical="center"/>
    </xf>
    <xf numFmtId="0" fontId="28" fillId="16" borderId="9" xfId="0" applyFont="1" applyFill="1" applyBorder="1" applyAlignment="1">
      <alignment horizontal="center" vertical="center"/>
    </xf>
    <xf numFmtId="0" fontId="5" fillId="7" borderId="2" xfId="0" applyFont="1" applyFill="1" applyBorder="1" applyAlignment="1">
      <alignment horizontal="center" vertical="center"/>
    </xf>
    <xf numFmtId="0" fontId="24" fillId="7" borderId="2" xfId="0" applyFont="1" applyFill="1" applyBorder="1" applyAlignment="1">
      <alignment horizontal="center" vertical="center"/>
    </xf>
    <xf numFmtId="38" fontId="42" fillId="6" borderId="2" xfId="2" applyFont="1" applyFill="1" applyBorder="1" applyAlignment="1" applyProtection="1">
      <alignment horizontal="center" vertical="center"/>
    </xf>
    <xf numFmtId="0" fontId="103" fillId="0" borderId="0" xfId="0" applyFont="1">
      <alignment vertical="center"/>
    </xf>
    <xf numFmtId="0" fontId="99" fillId="16" borderId="0" xfId="0" applyFont="1" applyFill="1" applyProtection="1">
      <alignment vertical="center"/>
      <protection hidden="1"/>
    </xf>
    <xf numFmtId="0" fontId="24" fillId="7" borderId="71" xfId="0" applyFont="1" applyFill="1" applyBorder="1" applyAlignment="1" applyProtection="1">
      <alignment horizontal="center" vertical="center"/>
      <protection hidden="1"/>
    </xf>
    <xf numFmtId="0" fontId="24" fillId="7" borderId="66" xfId="0" applyFont="1" applyFill="1" applyBorder="1" applyAlignment="1" applyProtection="1">
      <alignment horizontal="center" vertical="center"/>
      <protection hidden="1"/>
    </xf>
    <xf numFmtId="38" fontId="61" fillId="7" borderId="2" xfId="2" applyFont="1" applyFill="1" applyBorder="1" applyAlignment="1" applyProtection="1">
      <alignment horizontal="center" vertical="center"/>
      <protection hidden="1"/>
    </xf>
    <xf numFmtId="38" fontId="59" fillId="6" borderId="2" xfId="2" applyFont="1" applyFill="1" applyBorder="1" applyAlignment="1" applyProtection="1">
      <alignment horizontal="center" vertical="center"/>
      <protection hidden="1"/>
    </xf>
    <xf numFmtId="0" fontId="24" fillId="7" borderId="27" xfId="0" applyFont="1" applyFill="1" applyBorder="1" applyAlignment="1" applyProtection="1">
      <alignment horizontal="center" vertical="center"/>
      <protection hidden="1"/>
    </xf>
    <xf numFmtId="38" fontId="20" fillId="6" borderId="41" xfId="2" applyFont="1" applyFill="1" applyBorder="1" applyAlignment="1" applyProtection="1">
      <alignment horizontal="center" vertical="center"/>
      <protection hidden="1"/>
    </xf>
    <xf numFmtId="38" fontId="20" fillId="6" borderId="44" xfId="2" applyFont="1" applyFill="1" applyBorder="1" applyAlignment="1" applyProtection="1">
      <alignment horizontal="center" vertical="center"/>
      <protection hidden="1"/>
    </xf>
    <xf numFmtId="9" fontId="20" fillId="6" borderId="41" xfId="1" applyFont="1" applyFill="1" applyBorder="1" applyAlignment="1" applyProtection="1">
      <alignment horizontal="center" vertical="center"/>
      <protection hidden="1"/>
    </xf>
    <xf numFmtId="9" fontId="20" fillId="6" borderId="43" xfId="1" applyFont="1" applyFill="1" applyBorder="1" applyAlignment="1" applyProtection="1">
      <alignment horizontal="center" vertical="center"/>
      <protection hidden="1"/>
    </xf>
    <xf numFmtId="0" fontId="4" fillId="0" borderId="0" xfId="0" applyFont="1" applyProtection="1">
      <alignment vertical="center"/>
      <protection hidden="1"/>
    </xf>
    <xf numFmtId="0" fontId="24" fillId="6" borderId="3" xfId="0" applyFont="1" applyFill="1" applyBorder="1" applyAlignment="1" applyProtection="1">
      <alignment horizontal="center" vertical="center"/>
      <protection hidden="1"/>
    </xf>
    <xf numFmtId="0" fontId="64" fillId="0" borderId="57" xfId="0" applyFont="1" applyBorder="1" applyAlignment="1" applyProtection="1">
      <alignment horizontal="center" vertical="center"/>
      <protection hidden="1"/>
    </xf>
    <xf numFmtId="0" fontId="33" fillId="0" borderId="57" xfId="0" applyFont="1" applyBorder="1" applyAlignment="1" applyProtection="1">
      <alignment horizontal="center" vertical="center"/>
      <protection hidden="1"/>
    </xf>
    <xf numFmtId="0" fontId="34" fillId="0" borderId="57" xfId="0" applyFont="1" applyBorder="1" applyAlignment="1" applyProtection="1">
      <alignment horizontal="center" vertical="center"/>
      <protection hidden="1"/>
    </xf>
    <xf numFmtId="0" fontId="34" fillId="0" borderId="57" xfId="0" applyFont="1" applyBorder="1" applyAlignment="1" applyProtection="1">
      <alignment horizontal="center" wrapText="1"/>
      <protection hidden="1"/>
    </xf>
    <xf numFmtId="183" fontId="34" fillId="0" borderId="57" xfId="0" applyNumberFormat="1" applyFont="1" applyBorder="1" applyAlignment="1" applyProtection="1">
      <alignment horizontal="center" wrapText="1"/>
      <protection hidden="1"/>
    </xf>
    <xf numFmtId="38" fontId="34" fillId="0" borderId="57" xfId="2" applyFont="1" applyFill="1" applyBorder="1" applyAlignment="1" applyProtection="1">
      <alignment horizontal="center" vertical="center"/>
      <protection hidden="1"/>
    </xf>
    <xf numFmtId="38" fontId="34" fillId="0" borderId="57" xfId="2" applyFont="1" applyFill="1" applyBorder="1" applyAlignment="1" applyProtection="1">
      <alignment horizontal="center"/>
      <protection hidden="1"/>
    </xf>
    <xf numFmtId="38" fontId="34" fillId="0" borderId="57" xfId="2" applyFont="1" applyFill="1" applyBorder="1" applyAlignment="1" applyProtection="1">
      <alignment horizontal="right" vertical="center"/>
      <protection hidden="1"/>
    </xf>
    <xf numFmtId="38" fontId="34" fillId="0" borderId="74" xfId="2" applyFont="1" applyFill="1" applyBorder="1" applyAlignment="1" applyProtection="1">
      <alignment horizontal="center" vertical="center"/>
      <protection hidden="1"/>
    </xf>
    <xf numFmtId="0" fontId="35" fillId="0" borderId="0" xfId="0" applyFont="1" applyAlignment="1" applyProtection="1">
      <alignment horizontal="left" vertical="center"/>
      <protection hidden="1"/>
    </xf>
    <xf numFmtId="0" fontId="70" fillId="7" borderId="2" xfId="0" applyFont="1" applyFill="1" applyBorder="1" applyAlignment="1" applyProtection="1">
      <alignment horizontal="center" vertical="center" wrapText="1"/>
      <protection locked="0"/>
    </xf>
    <xf numFmtId="38" fontId="70" fillId="0" borderId="57" xfId="2" applyFont="1" applyFill="1" applyBorder="1" applyAlignment="1" applyProtection="1">
      <alignment horizontal="right" vertical="center"/>
      <protection hidden="1"/>
    </xf>
    <xf numFmtId="38" fontId="106" fillId="0" borderId="58" xfId="2" applyFont="1" applyFill="1" applyBorder="1" applyAlignment="1" applyProtection="1">
      <alignment horizontal="right" vertical="center"/>
      <protection locked="0"/>
    </xf>
    <xf numFmtId="0" fontId="20" fillId="7" borderId="48" xfId="0" applyFont="1" applyFill="1" applyBorder="1" applyAlignment="1" applyProtection="1">
      <alignment horizontal="center" vertical="center"/>
      <protection hidden="1"/>
    </xf>
    <xf numFmtId="0" fontId="20" fillId="6" borderId="2" xfId="0" applyFont="1" applyFill="1" applyBorder="1" applyAlignment="1" applyProtection="1">
      <alignment horizontal="center" vertical="center"/>
      <protection hidden="1"/>
    </xf>
    <xf numFmtId="0" fontId="70" fillId="0" borderId="0" xfId="0" applyFont="1" applyAlignment="1" applyProtection="1">
      <alignment horizontal="center" vertical="center"/>
      <protection locked="0"/>
    </xf>
    <xf numFmtId="38" fontId="70" fillId="0" borderId="58" xfId="2" applyFont="1" applyFill="1" applyBorder="1" applyAlignment="1" applyProtection="1">
      <alignment horizontal="right" vertical="center"/>
      <protection hidden="1"/>
    </xf>
    <xf numFmtId="38" fontId="70" fillId="8" borderId="79" xfId="2" applyFont="1" applyFill="1" applyBorder="1" applyAlignment="1" applyProtection="1">
      <alignment horizontal="right" vertical="center"/>
      <protection hidden="1"/>
    </xf>
    <xf numFmtId="38" fontId="70" fillId="8" borderId="80" xfId="2" applyFont="1" applyFill="1" applyBorder="1" applyAlignment="1" applyProtection="1">
      <alignment horizontal="right" vertical="center"/>
      <protection hidden="1"/>
    </xf>
    <xf numFmtId="38" fontId="34" fillId="0" borderId="81" xfId="2" applyFont="1" applyFill="1" applyBorder="1" applyAlignment="1" applyProtection="1">
      <alignment horizontal="center" vertical="center"/>
      <protection hidden="1"/>
    </xf>
    <xf numFmtId="38" fontId="34" fillId="0" borderId="82" xfId="2" applyFont="1" applyFill="1" applyBorder="1" applyAlignment="1" applyProtection="1">
      <alignment horizontal="center" vertical="center"/>
      <protection hidden="1"/>
    </xf>
    <xf numFmtId="38" fontId="34" fillId="0" borderId="83" xfId="2" applyFont="1" applyFill="1" applyBorder="1" applyAlignment="1" applyProtection="1">
      <alignment horizontal="center" vertical="center"/>
      <protection locked="0"/>
    </xf>
    <xf numFmtId="38" fontId="34" fillId="0" borderId="84" xfId="2" applyFont="1" applyFill="1" applyBorder="1" applyAlignment="1" applyProtection="1">
      <alignment horizontal="center" vertical="center"/>
      <protection hidden="1"/>
    </xf>
    <xf numFmtId="38" fontId="34" fillId="0" borderId="85" xfId="2" applyFont="1" applyFill="1" applyBorder="1" applyAlignment="1" applyProtection="1">
      <alignment horizontal="center" vertical="center"/>
      <protection locked="0"/>
    </xf>
    <xf numFmtId="38" fontId="34" fillId="0" borderId="86" xfId="2" applyFont="1" applyFill="1" applyBorder="1" applyAlignment="1" applyProtection="1">
      <alignment horizontal="center" vertical="center"/>
      <protection hidden="1"/>
    </xf>
    <xf numFmtId="38" fontId="34" fillId="0" borderId="85" xfId="2" applyFont="1" applyFill="1" applyBorder="1" applyAlignment="1" applyProtection="1">
      <alignment horizontal="center" vertical="center"/>
      <protection hidden="1"/>
    </xf>
    <xf numFmtId="38" fontId="34" fillId="0" borderId="87" xfId="2" applyFont="1" applyFill="1" applyBorder="1" applyAlignment="1" applyProtection="1">
      <alignment horizontal="center" vertical="center"/>
      <protection hidden="1"/>
    </xf>
    <xf numFmtId="38" fontId="34" fillId="0" borderId="88" xfId="2" applyFont="1" applyFill="1" applyBorder="1" applyAlignment="1" applyProtection="1">
      <alignment horizontal="center" vertical="center"/>
      <protection hidden="1"/>
    </xf>
    <xf numFmtId="38" fontId="34" fillId="0" borderId="89" xfId="2" applyFont="1" applyFill="1" applyBorder="1" applyAlignment="1" applyProtection="1">
      <alignment horizontal="center" vertical="center"/>
      <protection hidden="1"/>
    </xf>
    <xf numFmtId="38" fontId="34" fillId="0" borderId="90" xfId="2" applyFont="1" applyFill="1" applyBorder="1" applyAlignment="1" applyProtection="1">
      <alignment horizontal="center" vertical="center"/>
      <protection hidden="1"/>
    </xf>
    <xf numFmtId="38" fontId="34" fillId="0" borderId="91" xfId="2" applyFont="1" applyFill="1" applyBorder="1" applyAlignment="1" applyProtection="1">
      <alignment horizontal="center" vertical="center"/>
      <protection hidden="1"/>
    </xf>
    <xf numFmtId="38" fontId="34" fillId="0" borderId="92" xfId="2" applyFont="1" applyFill="1" applyBorder="1" applyAlignment="1" applyProtection="1">
      <alignment horizontal="center" vertical="center"/>
      <protection hidden="1"/>
    </xf>
    <xf numFmtId="38" fontId="34" fillId="0" borderId="93" xfId="2" applyFont="1" applyFill="1" applyBorder="1" applyAlignment="1" applyProtection="1">
      <alignment horizontal="center" vertical="center"/>
      <protection hidden="1"/>
    </xf>
    <xf numFmtId="182" fontId="24" fillId="6" borderId="12" xfId="0" applyNumberFormat="1" applyFont="1" applyFill="1" applyBorder="1" applyProtection="1">
      <alignment vertical="center"/>
      <protection hidden="1"/>
    </xf>
    <xf numFmtId="38" fontId="24" fillId="18" borderId="62" xfId="2" applyFont="1" applyFill="1" applyBorder="1" applyProtection="1">
      <alignment vertical="center"/>
      <protection hidden="1"/>
    </xf>
    <xf numFmtId="0" fontId="28" fillId="17" borderId="27" xfId="0" applyFont="1" applyFill="1" applyBorder="1" applyAlignment="1" applyProtection="1">
      <alignment horizontal="center" vertical="center" wrapText="1"/>
      <protection hidden="1"/>
    </xf>
    <xf numFmtId="38" fontId="24" fillId="6" borderId="32" xfId="0" applyNumberFormat="1" applyFont="1" applyFill="1" applyBorder="1" applyProtection="1">
      <alignment vertical="center"/>
      <protection hidden="1"/>
    </xf>
    <xf numFmtId="0" fontId="12" fillId="8" borderId="27" xfId="0" applyFont="1" applyFill="1" applyBorder="1" applyAlignment="1" applyProtection="1">
      <alignment horizontal="center" vertical="center" wrapText="1"/>
      <protection hidden="1"/>
    </xf>
    <xf numFmtId="38" fontId="24" fillId="6" borderId="33" xfId="0" applyNumberFormat="1" applyFont="1" applyFill="1" applyBorder="1" applyProtection="1">
      <alignment vertical="center"/>
      <protection hidden="1"/>
    </xf>
    <xf numFmtId="38" fontId="24" fillId="6" borderId="62" xfId="2" applyFont="1" applyFill="1" applyBorder="1" applyProtection="1">
      <alignment vertical="center"/>
      <protection hidden="1"/>
    </xf>
    <xf numFmtId="0" fontId="28" fillId="10" borderId="15" xfId="0" applyFont="1" applyFill="1" applyBorder="1" applyAlignment="1" applyProtection="1">
      <alignment horizontal="center" vertical="center" wrapText="1"/>
      <protection hidden="1"/>
    </xf>
    <xf numFmtId="0" fontId="43" fillId="0" borderId="0" xfId="0" applyFont="1" applyAlignment="1" applyProtection="1">
      <alignment horizontal="left" vertical="center"/>
      <protection hidden="1"/>
    </xf>
    <xf numFmtId="0" fontId="107" fillId="0" borderId="0" xfId="0" applyFont="1">
      <alignment vertical="center"/>
    </xf>
    <xf numFmtId="0" fontId="28" fillId="8" borderId="24" xfId="0" applyFont="1" applyFill="1" applyBorder="1" applyAlignment="1" applyProtection="1">
      <alignment horizontal="center" vertical="center" wrapText="1"/>
      <protection hidden="1"/>
    </xf>
    <xf numFmtId="0" fontId="28" fillId="8" borderId="65" xfId="0" applyFont="1" applyFill="1" applyBorder="1" applyAlignment="1" applyProtection="1">
      <alignment horizontal="center" vertical="center" wrapText="1"/>
      <protection hidden="1"/>
    </xf>
    <xf numFmtId="38" fontId="5" fillId="0" borderId="2" xfId="2" applyFont="1" applyBorder="1" applyAlignment="1">
      <alignment horizontal="center" vertical="center"/>
    </xf>
    <xf numFmtId="38" fontId="5" fillId="0" borderId="2" xfId="2" applyFont="1" applyBorder="1" applyAlignment="1" applyProtection="1">
      <alignment horizontal="center" vertical="center"/>
      <protection hidden="1"/>
    </xf>
    <xf numFmtId="0" fontId="28" fillId="0" borderId="2" xfId="0" applyFont="1" applyBorder="1" applyAlignment="1">
      <alignment horizontal="center" vertical="center"/>
    </xf>
    <xf numFmtId="0" fontId="28" fillId="15" borderId="2" xfId="0" applyFont="1" applyFill="1" applyBorder="1" applyAlignment="1">
      <alignment horizontal="center" vertical="center"/>
    </xf>
    <xf numFmtId="0" fontId="28" fillId="13" borderId="2" xfId="0" applyFont="1" applyFill="1" applyBorder="1" applyAlignment="1">
      <alignment horizontal="center" vertical="center"/>
    </xf>
    <xf numFmtId="0" fontId="28" fillId="14" borderId="2" xfId="0" applyFont="1" applyFill="1" applyBorder="1" applyProtection="1">
      <alignment vertical="center"/>
      <protection hidden="1"/>
    </xf>
    <xf numFmtId="0" fontId="28" fillId="8" borderId="2" xfId="0" applyFont="1" applyFill="1" applyBorder="1" applyAlignment="1">
      <alignment horizontal="center" vertical="center"/>
    </xf>
    <xf numFmtId="0" fontId="39" fillId="0" borderId="0" xfId="0" applyFont="1">
      <alignment vertical="center"/>
    </xf>
    <xf numFmtId="38" fontId="20" fillId="0" borderId="0" xfId="2" applyFont="1" applyFill="1" applyBorder="1" applyAlignment="1" applyProtection="1">
      <alignment horizontal="center" vertical="center"/>
      <protection hidden="1"/>
    </xf>
    <xf numFmtId="0" fontId="42" fillId="0" borderId="0" xfId="0" applyFont="1" applyAlignment="1" applyProtection="1">
      <alignment vertical="center" wrapText="1"/>
      <protection hidden="1"/>
    </xf>
    <xf numFmtId="38" fontId="38" fillId="6" borderId="2" xfId="2" applyFont="1" applyFill="1" applyBorder="1" applyAlignment="1" applyProtection="1">
      <alignment horizontal="center" vertical="center"/>
      <protection hidden="1"/>
    </xf>
    <xf numFmtId="0" fontId="108" fillId="16" borderId="70" xfId="0" applyFont="1" applyFill="1" applyBorder="1" applyAlignment="1" applyProtection="1">
      <alignment horizontal="center" vertical="center"/>
      <protection hidden="1"/>
    </xf>
    <xf numFmtId="0" fontId="20" fillId="6" borderId="27" xfId="0" applyFont="1" applyFill="1" applyBorder="1" applyAlignment="1" applyProtection="1">
      <alignment horizontal="center" vertical="center"/>
      <protection hidden="1"/>
    </xf>
    <xf numFmtId="0" fontId="8" fillId="0" borderId="0" xfId="0" applyFont="1" applyAlignment="1" applyProtection="1">
      <alignment vertical="center" wrapText="1"/>
      <protection hidden="1"/>
    </xf>
    <xf numFmtId="0" fontId="109" fillId="14" borderId="2" xfId="0" applyFont="1" applyFill="1" applyBorder="1" applyAlignment="1" applyProtection="1">
      <alignment horizontal="center" vertical="center"/>
      <protection hidden="1"/>
    </xf>
    <xf numFmtId="38" fontId="109" fillId="0" borderId="1" xfId="2" applyFont="1" applyBorder="1" applyAlignment="1" applyProtection="1">
      <alignment horizontal="center" vertical="center"/>
      <protection hidden="1"/>
    </xf>
    <xf numFmtId="0" fontId="108" fillId="16" borderId="72" xfId="0" applyFont="1" applyFill="1" applyBorder="1" applyAlignment="1" applyProtection="1">
      <alignment horizontal="center" vertical="center"/>
      <protection hidden="1"/>
    </xf>
    <xf numFmtId="0" fontId="12" fillId="0" borderId="12" xfId="0" applyFont="1" applyBorder="1" applyAlignment="1" applyProtection="1">
      <alignment horizontal="center" vertical="center" wrapText="1"/>
      <protection hidden="1"/>
    </xf>
    <xf numFmtId="0" fontId="28" fillId="0" borderId="12" xfId="0" applyFont="1" applyBorder="1" applyAlignment="1" applyProtection="1">
      <alignment horizontal="center" vertical="center" wrapText="1"/>
      <protection hidden="1"/>
    </xf>
    <xf numFmtId="0" fontId="19" fillId="0" borderId="12"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0" fontId="42" fillId="0" borderId="12" xfId="0" applyFont="1" applyBorder="1" applyAlignment="1" applyProtection="1">
      <alignment horizontal="center" vertical="center" wrapText="1"/>
      <protection hidden="1"/>
    </xf>
    <xf numFmtId="0" fontId="101" fillId="0" borderId="15" xfId="0" applyFont="1" applyBorder="1" applyProtection="1">
      <alignment vertical="center"/>
      <protection hidden="1"/>
    </xf>
    <xf numFmtId="0" fontId="101" fillId="0" borderId="1" xfId="0" applyFont="1" applyBorder="1" applyProtection="1">
      <alignment vertical="center"/>
      <protection hidden="1"/>
    </xf>
    <xf numFmtId="0" fontId="113" fillId="0" borderId="6" xfId="0" applyFont="1" applyBorder="1" applyAlignment="1" applyProtection="1">
      <alignment horizontal="center" vertical="center"/>
      <protection hidden="1"/>
    </xf>
    <xf numFmtId="0" fontId="42" fillId="0" borderId="32" xfId="0" applyFont="1" applyBorder="1" applyAlignment="1" applyProtection="1">
      <alignment horizontal="center" vertical="center" wrapText="1"/>
      <protection hidden="1"/>
    </xf>
    <xf numFmtId="0" fontId="24" fillId="0" borderId="32" xfId="0" applyFont="1" applyBorder="1" applyAlignment="1" applyProtection="1">
      <alignment horizontal="center" vertical="center"/>
      <protection hidden="1"/>
    </xf>
    <xf numFmtId="0" fontId="0" fillId="0" borderId="17" xfId="0" applyBorder="1" applyProtection="1">
      <alignment vertical="center"/>
      <protection hidden="1"/>
    </xf>
    <xf numFmtId="0" fontId="0" fillId="0" borderId="18" xfId="0" applyBorder="1" applyProtection="1">
      <alignment vertical="center"/>
      <protection hidden="1"/>
    </xf>
    <xf numFmtId="0" fontId="58" fillId="0" borderId="0" xfId="0" applyFont="1" applyAlignment="1" applyProtection="1">
      <alignment horizontal="center" vertical="center"/>
      <protection hidden="1"/>
    </xf>
    <xf numFmtId="0" fontId="110" fillId="0" borderId="0" xfId="0" applyFont="1" applyProtection="1">
      <alignment vertical="center"/>
      <protection hidden="1"/>
    </xf>
    <xf numFmtId="0" fontId="110" fillId="0" borderId="0" xfId="0" applyFont="1" applyAlignment="1" applyProtection="1">
      <alignment vertical="center" wrapText="1"/>
      <protection hidden="1"/>
    </xf>
    <xf numFmtId="0" fontId="54" fillId="0" borderId="0" xfId="0" applyFont="1" applyAlignment="1" applyProtection="1">
      <alignment vertical="center" wrapText="1"/>
      <protection hidden="1"/>
    </xf>
    <xf numFmtId="38" fontId="5" fillId="0" borderId="0" xfId="2"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38" fontId="109" fillId="0" borderId="15" xfId="2" applyFont="1" applyBorder="1" applyAlignment="1" applyProtection="1">
      <alignment horizontal="center" vertical="center"/>
      <protection hidden="1"/>
    </xf>
    <xf numFmtId="0" fontId="109" fillId="0" borderId="16" xfId="0" applyFont="1" applyBorder="1" applyAlignment="1" applyProtection="1">
      <alignment horizontal="center" vertical="center"/>
      <protection hidden="1"/>
    </xf>
    <xf numFmtId="0" fontId="109" fillId="15" borderId="2" xfId="0" applyFont="1" applyFill="1" applyBorder="1" applyAlignment="1" applyProtection="1">
      <alignment horizontal="center" vertical="center"/>
      <protection hidden="1"/>
    </xf>
    <xf numFmtId="0" fontId="109" fillId="13" borderId="2" xfId="0" applyFont="1" applyFill="1" applyBorder="1" applyAlignment="1" applyProtection="1">
      <alignment horizontal="center" vertical="center"/>
      <protection hidden="1"/>
    </xf>
    <xf numFmtId="38" fontId="109" fillId="0" borderId="6" xfId="2" applyFont="1" applyBorder="1" applyAlignment="1" applyProtection="1">
      <alignment horizontal="center" vertical="center"/>
      <protection hidden="1"/>
    </xf>
    <xf numFmtId="0" fontId="109" fillId="8" borderId="7" xfId="0" applyFont="1" applyFill="1" applyBorder="1" applyAlignment="1" applyProtection="1">
      <alignment horizontal="center" vertical="center"/>
      <protection hidden="1"/>
    </xf>
    <xf numFmtId="0" fontId="14" fillId="0" borderId="2" xfId="0" applyFont="1" applyBorder="1" applyProtection="1">
      <alignment vertical="center"/>
      <protection hidden="1"/>
    </xf>
    <xf numFmtId="0" fontId="98" fillId="0" borderId="48" xfId="0" applyFont="1" applyBorder="1" applyProtection="1">
      <alignment vertical="center"/>
      <protection hidden="1"/>
    </xf>
    <xf numFmtId="0" fontId="98" fillId="0" borderId="3" xfId="0" applyFont="1" applyBorder="1" applyProtection="1">
      <alignment vertical="center"/>
      <protection hidden="1"/>
    </xf>
    <xf numFmtId="0" fontId="113" fillId="0" borderId="8" xfId="0" applyFont="1" applyBorder="1" applyAlignment="1" applyProtection="1">
      <alignment horizontal="center" vertical="center"/>
      <protection hidden="1"/>
    </xf>
    <xf numFmtId="0" fontId="0" fillId="0" borderId="11" xfId="0" applyBorder="1" applyProtection="1">
      <alignment vertical="center"/>
      <protection hidden="1"/>
    </xf>
    <xf numFmtId="0" fontId="111" fillId="0" borderId="27" xfId="0" applyFont="1" applyBorder="1" applyAlignment="1" applyProtection="1">
      <alignment horizontal="left" vertical="center" wrapText="1"/>
      <protection hidden="1"/>
    </xf>
    <xf numFmtId="0" fontId="111" fillId="0" borderId="102" xfId="0" applyFont="1" applyBorder="1" applyAlignment="1" applyProtection="1">
      <alignment horizontal="left" vertical="center" wrapText="1"/>
      <protection hidden="1"/>
    </xf>
    <xf numFmtId="0" fontId="101" fillId="0" borderId="0" xfId="0" applyFont="1" applyProtection="1">
      <alignment vertical="center"/>
      <protection hidden="1"/>
    </xf>
    <xf numFmtId="0" fontId="20" fillId="0" borderId="2" xfId="0" applyFont="1" applyBorder="1" applyAlignment="1" applyProtection="1">
      <alignment horizontal="center" vertical="center"/>
      <protection hidden="1"/>
    </xf>
    <xf numFmtId="38" fontId="24" fillId="0" borderId="32" xfId="0" applyNumberFormat="1" applyFont="1" applyBorder="1" applyProtection="1">
      <alignment vertical="center"/>
      <protection hidden="1"/>
    </xf>
    <xf numFmtId="38" fontId="24" fillId="0" borderId="62" xfId="2" applyFont="1" applyFill="1" applyBorder="1" applyProtection="1">
      <alignment vertical="center"/>
      <protection hidden="1"/>
    </xf>
    <xf numFmtId="38" fontId="24" fillId="0" borderId="47" xfId="0" applyNumberFormat="1" applyFont="1" applyBorder="1" applyAlignment="1" applyProtection="1">
      <alignment horizontal="center" vertical="center"/>
      <protection hidden="1"/>
    </xf>
    <xf numFmtId="38" fontId="24" fillId="0" borderId="3" xfId="0" applyNumberFormat="1" applyFont="1" applyBorder="1" applyProtection="1">
      <alignment vertical="center"/>
      <protection hidden="1"/>
    </xf>
    <xf numFmtId="38" fontId="24" fillId="0" borderId="1" xfId="2" applyFont="1" applyFill="1" applyBorder="1" applyProtection="1">
      <alignment vertical="center"/>
      <protection hidden="1"/>
    </xf>
    <xf numFmtId="0" fontId="38" fillId="0" borderId="2" xfId="0" applyFont="1" applyBorder="1" applyAlignment="1" applyProtection="1">
      <alignment horizontal="center" vertical="center"/>
      <protection hidden="1"/>
    </xf>
    <xf numFmtId="38" fontId="100" fillId="0" borderId="27" xfId="0" applyNumberFormat="1" applyFont="1" applyBorder="1" applyAlignment="1" applyProtection="1">
      <alignment horizontal="center" vertical="center"/>
      <protection hidden="1"/>
    </xf>
    <xf numFmtId="0" fontId="45" fillId="0" borderId="0" xfId="0" applyFont="1" applyAlignment="1" applyProtection="1">
      <alignment horizontal="center" vertical="center"/>
      <protection hidden="1"/>
    </xf>
    <xf numFmtId="187" fontId="46" fillId="0" borderId="2" xfId="0" applyNumberFormat="1" applyFont="1" applyBorder="1" applyAlignment="1" applyProtection="1">
      <alignment horizontal="center" vertical="center"/>
      <protection hidden="1"/>
    </xf>
    <xf numFmtId="0" fontId="12" fillId="8" borderId="71" xfId="0" applyFont="1" applyFill="1" applyBorder="1" applyAlignment="1" applyProtection="1">
      <alignment horizontal="center" vertical="center" wrapText="1"/>
      <protection hidden="1"/>
    </xf>
    <xf numFmtId="0" fontId="20" fillId="6" borderId="33" xfId="0" applyFont="1" applyFill="1" applyBorder="1" applyAlignment="1" applyProtection="1">
      <alignment horizontal="center" vertical="center"/>
      <protection hidden="1"/>
    </xf>
    <xf numFmtId="0" fontId="20" fillId="6" borderId="5" xfId="0" applyFont="1" applyFill="1" applyBorder="1" applyAlignment="1" applyProtection="1">
      <alignment horizontal="center" vertical="center"/>
      <protection hidden="1"/>
    </xf>
    <xf numFmtId="38" fontId="23" fillId="0" borderId="0" xfId="2" applyFont="1" applyFill="1" applyBorder="1" applyAlignment="1" applyProtection="1">
      <alignment horizontal="left" vertical="center"/>
      <protection hidden="1"/>
    </xf>
    <xf numFmtId="0" fontId="45" fillId="0" borderId="0" xfId="0" applyFont="1" applyAlignment="1" applyProtection="1">
      <alignment horizontal="left" vertical="center"/>
      <protection hidden="1"/>
    </xf>
    <xf numFmtId="0" fontId="20" fillId="0" borderId="0" xfId="0" applyFont="1" applyAlignment="1" applyProtection="1">
      <alignment horizontal="center" vertical="center"/>
      <protection hidden="1"/>
    </xf>
    <xf numFmtId="38" fontId="37" fillId="0" borderId="0" xfId="2" applyFont="1" applyFill="1" applyBorder="1" applyAlignment="1" applyProtection="1">
      <alignment horizontal="center" vertical="center"/>
      <protection hidden="1"/>
    </xf>
    <xf numFmtId="0" fontId="12" fillId="19" borderId="27" xfId="0" applyFont="1" applyFill="1" applyBorder="1" applyAlignment="1" applyProtection="1">
      <alignment horizontal="center" vertical="center" wrapText="1"/>
      <protection hidden="1"/>
    </xf>
    <xf numFmtId="38" fontId="37" fillId="6" borderId="0" xfId="0" applyNumberFormat="1" applyFont="1" applyFill="1" applyAlignment="1" applyProtection="1">
      <alignment horizontal="center" vertical="center"/>
      <protection hidden="1"/>
    </xf>
    <xf numFmtId="38" fontId="24" fillId="6" borderId="13" xfId="0" applyNumberFormat="1" applyFont="1" applyFill="1" applyBorder="1" applyAlignment="1" applyProtection="1">
      <alignment horizontal="center" vertical="center"/>
      <protection hidden="1"/>
    </xf>
    <xf numFmtId="38" fontId="24" fillId="6" borderId="0" xfId="0" applyNumberFormat="1" applyFont="1" applyFill="1" applyAlignment="1" applyProtection="1">
      <alignment horizontal="center" vertical="center"/>
      <protection hidden="1"/>
    </xf>
    <xf numFmtId="0" fontId="12" fillId="8" borderId="52" xfId="0" applyFont="1" applyFill="1" applyBorder="1" applyAlignment="1" applyProtection="1">
      <alignment horizontal="center" vertical="center" wrapText="1"/>
      <protection hidden="1"/>
    </xf>
    <xf numFmtId="38" fontId="24" fillId="6" borderId="33" xfId="2" applyFont="1" applyFill="1" applyBorder="1" applyProtection="1">
      <alignment vertical="center"/>
      <protection hidden="1"/>
    </xf>
    <xf numFmtId="38" fontId="24" fillId="6" borderId="5" xfId="2" applyFont="1" applyFill="1" applyBorder="1" applyProtection="1">
      <alignment vertical="center"/>
      <protection hidden="1"/>
    </xf>
    <xf numFmtId="38" fontId="24" fillId="6" borderId="60" xfId="2" applyFont="1" applyFill="1" applyBorder="1" applyProtection="1">
      <alignment vertical="center"/>
      <protection hidden="1"/>
    </xf>
    <xf numFmtId="0" fontId="5" fillId="17" borderId="71" xfId="0" applyFont="1" applyFill="1" applyBorder="1" applyAlignment="1" applyProtection="1">
      <alignment horizontal="center" vertical="center" wrapText="1"/>
      <protection hidden="1"/>
    </xf>
    <xf numFmtId="38" fontId="24" fillId="18" borderId="63" xfId="2" applyFont="1" applyFill="1" applyBorder="1" applyProtection="1">
      <alignment vertical="center"/>
      <protection hidden="1"/>
    </xf>
    <xf numFmtId="38" fontId="24" fillId="18" borderId="26" xfId="2" applyFont="1" applyFill="1" applyBorder="1" applyProtection="1">
      <alignment vertical="center"/>
      <protection hidden="1"/>
    </xf>
    <xf numFmtId="187" fontId="26" fillId="0" borderId="28" xfId="0" applyNumberFormat="1" applyFont="1" applyBorder="1" applyAlignment="1" applyProtection="1">
      <alignment horizontal="center" vertical="center"/>
      <protection locked="0"/>
    </xf>
    <xf numFmtId="0" fontId="5" fillId="2" borderId="3" xfId="0" applyFont="1" applyFill="1" applyBorder="1" applyAlignment="1" applyProtection="1">
      <alignment horizontal="center" vertical="center"/>
      <protection hidden="1"/>
    </xf>
    <xf numFmtId="0" fontId="12" fillId="8" borderId="5" xfId="0" applyFont="1" applyFill="1" applyBorder="1" applyAlignment="1" applyProtection="1">
      <alignment horizontal="center" vertical="center" wrapText="1"/>
      <protection hidden="1"/>
    </xf>
    <xf numFmtId="38" fontId="24" fillId="6" borderId="5" xfId="0" applyNumberFormat="1" applyFont="1" applyFill="1" applyBorder="1" applyAlignment="1" applyProtection="1">
      <alignment horizontal="center" vertical="center"/>
      <protection hidden="1"/>
    </xf>
    <xf numFmtId="0" fontId="58" fillId="0" borderId="0" xfId="0" applyFont="1" applyProtection="1">
      <alignment vertical="center"/>
      <protection locked="0"/>
    </xf>
    <xf numFmtId="38" fontId="24" fillId="6" borderId="2" xfId="2" applyFont="1" applyFill="1" applyBorder="1" applyAlignment="1" applyProtection="1">
      <alignment horizontal="right" vertical="center"/>
      <protection hidden="1"/>
    </xf>
    <xf numFmtId="38" fontId="24" fillId="6" borderId="5" xfId="2" applyFont="1" applyFill="1" applyBorder="1" applyAlignment="1" applyProtection="1">
      <alignment horizontal="right" vertical="center"/>
      <protection hidden="1"/>
    </xf>
    <xf numFmtId="0" fontId="114" fillId="26" borderId="21" xfId="0" applyFont="1" applyFill="1" applyBorder="1" applyAlignment="1" applyProtection="1">
      <alignment horizontal="center" vertical="center" wrapText="1"/>
      <protection hidden="1"/>
    </xf>
    <xf numFmtId="0" fontId="28" fillId="19" borderId="14" xfId="0" applyFont="1" applyFill="1" applyBorder="1" applyAlignment="1" applyProtection="1">
      <alignment horizontal="center" vertical="center" wrapText="1"/>
      <protection hidden="1"/>
    </xf>
    <xf numFmtId="38" fontId="24" fillId="18" borderId="33" xfId="2" applyFont="1" applyFill="1" applyBorder="1" applyProtection="1">
      <alignment vertical="center"/>
      <protection hidden="1"/>
    </xf>
    <xf numFmtId="38" fontId="24" fillId="18" borderId="5" xfId="2" applyFont="1" applyFill="1" applyBorder="1" applyProtection="1">
      <alignment vertical="center"/>
      <protection hidden="1"/>
    </xf>
    <xf numFmtId="38" fontId="24" fillId="18" borderId="47" xfId="2" applyFont="1" applyFill="1" applyBorder="1" applyProtection="1">
      <alignment vertical="center"/>
      <protection hidden="1"/>
    </xf>
    <xf numFmtId="38" fontId="24" fillId="18" borderId="64" xfId="2" applyFont="1" applyFill="1" applyBorder="1" applyProtection="1">
      <alignment vertical="center"/>
      <protection hidden="1"/>
    </xf>
    <xf numFmtId="38" fontId="24" fillId="18" borderId="66" xfId="2" applyFont="1" applyFill="1" applyBorder="1" applyProtection="1">
      <alignment vertical="center"/>
      <protection hidden="1"/>
    </xf>
    <xf numFmtId="0" fontId="6" fillId="0" borderId="0" xfId="0" applyFont="1" applyAlignment="1" applyProtection="1">
      <alignment horizontal="center" vertical="center"/>
      <protection hidden="1"/>
    </xf>
    <xf numFmtId="0" fontId="44" fillId="0" borderId="0" xfId="0" applyFont="1" applyAlignment="1" applyProtection="1">
      <protection hidden="1"/>
    </xf>
    <xf numFmtId="38" fontId="42" fillId="6" borderId="19" xfId="2" applyFont="1" applyFill="1" applyBorder="1" applyAlignment="1" applyProtection="1">
      <alignment horizontal="center" vertical="center"/>
      <protection hidden="1"/>
    </xf>
    <xf numFmtId="0" fontId="99" fillId="16" borderId="0" xfId="0" applyFont="1" applyFill="1" applyAlignment="1" applyProtection="1">
      <alignment horizontal="center" vertical="center"/>
      <protection hidden="1"/>
    </xf>
    <xf numFmtId="38" fontId="42" fillId="6" borderId="51" xfId="2" applyFont="1" applyFill="1" applyBorder="1" applyAlignment="1" applyProtection="1">
      <alignment horizontal="center" vertical="center"/>
      <protection hidden="1"/>
    </xf>
    <xf numFmtId="38" fontId="4" fillId="6" borderId="27" xfId="2" applyFont="1" applyFill="1" applyBorder="1" applyAlignment="1" applyProtection="1">
      <alignment horizontal="center" vertical="center"/>
      <protection hidden="1"/>
    </xf>
    <xf numFmtId="0" fontId="115" fillId="6" borderId="27" xfId="0" applyFont="1" applyFill="1" applyBorder="1" applyAlignment="1" applyProtection="1">
      <alignment horizontal="center" vertical="center"/>
      <protection hidden="1"/>
    </xf>
    <xf numFmtId="0" fontId="99" fillId="0" borderId="0" xfId="0" applyFont="1" applyAlignment="1" applyProtection="1">
      <alignment horizontal="center" vertical="center"/>
      <protection hidden="1"/>
    </xf>
    <xf numFmtId="0" fontId="116" fillId="0" borderId="0" xfId="0" applyFont="1" applyProtection="1">
      <alignment vertical="center"/>
      <protection hidden="1"/>
    </xf>
    <xf numFmtId="38" fontId="100" fillId="0" borderId="0" xfId="0" applyNumberFormat="1" applyFont="1" applyAlignment="1" applyProtection="1">
      <alignment horizontal="center" vertical="center"/>
      <protection hidden="1"/>
    </xf>
    <xf numFmtId="0" fontId="12" fillId="8" borderId="20" xfId="0" applyFont="1" applyFill="1" applyBorder="1" applyAlignment="1" applyProtection="1">
      <alignment horizontal="center" vertical="center" wrapText="1"/>
      <protection hidden="1"/>
    </xf>
    <xf numFmtId="38" fontId="24" fillId="6" borderId="75" xfId="0" applyNumberFormat="1" applyFont="1" applyFill="1" applyBorder="1" applyAlignment="1" applyProtection="1">
      <alignment horizontal="center" vertical="center"/>
      <protection hidden="1"/>
    </xf>
    <xf numFmtId="38" fontId="24" fillId="6" borderId="24" xfId="0" applyNumberFormat="1" applyFont="1" applyFill="1" applyBorder="1" applyAlignment="1" applyProtection="1">
      <alignment horizontal="center" vertical="center"/>
      <protection hidden="1"/>
    </xf>
    <xf numFmtId="38" fontId="24" fillId="6" borderId="2" xfId="0" applyNumberFormat="1" applyFont="1" applyFill="1" applyBorder="1" applyAlignment="1" applyProtection="1">
      <alignment horizontal="center" vertical="center"/>
      <protection hidden="1"/>
    </xf>
    <xf numFmtId="40" fontId="24" fillId="6" borderId="2" xfId="0" applyNumberFormat="1" applyFont="1" applyFill="1" applyBorder="1" applyAlignment="1" applyProtection="1">
      <alignment horizontal="center" vertical="center"/>
      <protection hidden="1"/>
    </xf>
    <xf numFmtId="40" fontId="37" fillId="6" borderId="5" xfId="0"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38" fontId="38" fillId="7" borderId="2" xfId="2" applyFont="1" applyFill="1" applyBorder="1" applyAlignment="1" applyProtection="1">
      <alignment horizontal="center" vertical="center"/>
      <protection hidden="1"/>
    </xf>
    <xf numFmtId="0" fontId="28" fillId="6" borderId="2" xfId="0" applyFont="1" applyFill="1" applyBorder="1" applyAlignment="1">
      <alignment horizontal="center" vertical="center"/>
    </xf>
    <xf numFmtId="0" fontId="28" fillId="6" borderId="2" xfId="1" applyNumberFormat="1" applyFont="1" applyFill="1" applyBorder="1" applyAlignment="1">
      <alignment horizontal="center" vertical="center"/>
    </xf>
    <xf numFmtId="38" fontId="80" fillId="0" borderId="0" xfId="2" applyFont="1" applyFill="1" applyBorder="1" applyAlignment="1" applyProtection="1">
      <alignment horizontal="left" vertical="center"/>
      <protection locked="0"/>
    </xf>
    <xf numFmtId="38" fontId="32" fillId="0" borderId="13" xfId="2" applyFont="1" applyFill="1" applyBorder="1" applyAlignment="1" applyProtection="1">
      <alignment horizontal="center" vertical="center"/>
      <protection locked="0"/>
    </xf>
    <xf numFmtId="0" fontId="32" fillId="0" borderId="13" xfId="0" applyFont="1" applyBorder="1" applyAlignment="1" applyProtection="1">
      <alignment horizontal="center" vertical="center"/>
      <protection locked="0"/>
    </xf>
    <xf numFmtId="0" fontId="76" fillId="0" borderId="13" xfId="0" applyFont="1" applyBorder="1" applyAlignment="1" applyProtection="1">
      <alignment horizontal="center" vertical="center"/>
      <protection locked="0"/>
    </xf>
    <xf numFmtId="0" fontId="32" fillId="0" borderId="0" xfId="0" quotePrefix="1" applyFont="1" applyAlignment="1" applyProtection="1">
      <alignment horizontal="right" vertical="center"/>
      <protection locked="0"/>
    </xf>
    <xf numFmtId="0" fontId="16" fillId="0" borderId="0" xfId="0" applyFont="1" applyAlignment="1">
      <alignment horizontal="right" vertical="center"/>
    </xf>
    <xf numFmtId="0" fontId="20" fillId="7" borderId="2" xfId="0" applyFont="1" applyFill="1" applyBorder="1" applyAlignment="1">
      <alignment horizontal="left" vertical="center" wrapText="1"/>
    </xf>
    <xf numFmtId="0" fontId="20" fillId="7" borderId="3" xfId="0" applyFont="1" applyFill="1" applyBorder="1" applyAlignment="1">
      <alignment horizontal="left" vertical="center" wrapText="1"/>
    </xf>
    <xf numFmtId="0" fontId="114" fillId="26" borderId="14" xfId="0" applyFont="1" applyFill="1" applyBorder="1" applyAlignment="1" applyProtection="1">
      <alignment horizontal="center" vertical="center" wrapText="1"/>
      <protection hidden="1"/>
    </xf>
    <xf numFmtId="38" fontId="24" fillId="0" borderId="2" xfId="2" applyFont="1" applyFill="1" applyBorder="1" applyProtection="1">
      <alignment vertical="center"/>
      <protection hidden="1"/>
    </xf>
    <xf numFmtId="0" fontId="5" fillId="0" borderId="32" xfId="0" applyFont="1" applyBorder="1" applyAlignment="1" applyProtection="1">
      <alignment horizontal="center" vertical="center"/>
      <protection hidden="1"/>
    </xf>
    <xf numFmtId="0" fontId="12" fillId="0" borderId="33" xfId="0" applyFont="1" applyBorder="1" applyAlignment="1" applyProtection="1">
      <alignment horizontal="center" vertical="center" wrapText="1"/>
      <protection hidden="1"/>
    </xf>
    <xf numFmtId="0" fontId="12" fillId="0" borderId="47" xfId="0" applyFont="1" applyBorder="1" applyAlignment="1" applyProtection="1">
      <alignment horizontal="center" vertical="center" wrapText="1"/>
      <protection hidden="1"/>
    </xf>
    <xf numFmtId="38" fontId="24" fillId="15" borderId="2" xfId="2" applyFont="1" applyFill="1" applyBorder="1" applyAlignment="1" applyProtection="1">
      <alignment horizontal="right" vertical="center"/>
      <protection hidden="1"/>
    </xf>
    <xf numFmtId="38" fontId="24" fillId="15" borderId="5" xfId="2" applyFont="1" applyFill="1" applyBorder="1" applyAlignment="1" applyProtection="1">
      <alignment horizontal="right" vertical="center"/>
      <protection hidden="1"/>
    </xf>
    <xf numFmtId="0" fontId="5" fillId="17" borderId="66" xfId="0" applyFont="1" applyFill="1" applyBorder="1" applyAlignment="1" applyProtection="1">
      <alignment horizontal="center" vertical="center" wrapText="1"/>
      <protection hidden="1"/>
    </xf>
    <xf numFmtId="0" fontId="28" fillId="17" borderId="26" xfId="0" applyFont="1" applyFill="1" applyBorder="1" applyAlignment="1" applyProtection="1">
      <alignment horizontal="center" vertical="center" wrapText="1"/>
      <protection hidden="1"/>
    </xf>
    <xf numFmtId="38" fontId="24" fillId="6" borderId="12" xfId="0" applyNumberFormat="1" applyFont="1" applyFill="1" applyBorder="1" applyProtection="1">
      <alignment vertical="center"/>
      <protection hidden="1"/>
    </xf>
    <xf numFmtId="0" fontId="12" fillId="8" borderId="41" xfId="0" applyFont="1" applyFill="1" applyBorder="1" applyAlignment="1" applyProtection="1">
      <alignment horizontal="center" vertical="center" wrapText="1"/>
      <protection hidden="1"/>
    </xf>
    <xf numFmtId="0" fontId="28" fillId="8" borderId="61" xfId="0" applyFont="1" applyFill="1" applyBorder="1" applyAlignment="1" applyProtection="1">
      <alignment horizontal="center" vertical="center" wrapText="1"/>
      <protection hidden="1"/>
    </xf>
    <xf numFmtId="0" fontId="28" fillId="8" borderId="43" xfId="0" applyFont="1" applyFill="1" applyBorder="1" applyAlignment="1" applyProtection="1">
      <alignment horizontal="center" vertical="center" wrapText="1"/>
      <protection hidden="1"/>
    </xf>
    <xf numFmtId="0" fontId="28" fillId="19" borderId="42" xfId="0" applyFont="1" applyFill="1" applyBorder="1" applyAlignment="1" applyProtection="1">
      <alignment horizontal="center" vertical="center" wrapText="1"/>
      <protection hidden="1"/>
    </xf>
    <xf numFmtId="0" fontId="5" fillId="19" borderId="42" xfId="0" applyFont="1" applyFill="1" applyBorder="1" applyAlignment="1" applyProtection="1">
      <alignment horizontal="center" vertical="center" wrapText="1"/>
      <protection hidden="1"/>
    </xf>
    <xf numFmtId="0" fontId="5" fillId="19" borderId="44" xfId="0" applyFont="1" applyFill="1" applyBorder="1" applyAlignment="1" applyProtection="1">
      <alignment horizontal="center" vertical="center" wrapText="1"/>
      <protection hidden="1"/>
    </xf>
    <xf numFmtId="38" fontId="24" fillId="15" borderId="62" xfId="2" applyFont="1" applyFill="1" applyBorder="1" applyProtection="1">
      <alignment vertical="center"/>
      <protection hidden="1"/>
    </xf>
    <xf numFmtId="38" fontId="24" fillId="15" borderId="32" xfId="2" applyFont="1" applyFill="1" applyBorder="1" applyProtection="1">
      <alignment vertical="center"/>
      <protection hidden="1"/>
    </xf>
    <xf numFmtId="38" fontId="24" fillId="15" borderId="75" xfId="2" applyFont="1" applyFill="1" applyBorder="1" applyProtection="1">
      <alignment vertical="center"/>
      <protection hidden="1"/>
    </xf>
    <xf numFmtId="38" fontId="24" fillId="15" borderId="51" xfId="2" applyFont="1" applyFill="1" applyBorder="1" applyProtection="1">
      <alignment vertical="center"/>
      <protection hidden="1"/>
    </xf>
    <xf numFmtId="38" fontId="24" fillId="15" borderId="1" xfId="2" applyFont="1" applyFill="1" applyBorder="1" applyProtection="1">
      <alignment vertical="center"/>
      <protection hidden="1"/>
    </xf>
    <xf numFmtId="38" fontId="24" fillId="15" borderId="18" xfId="2" applyFont="1" applyFill="1" applyBorder="1" applyProtection="1">
      <alignment vertical="center"/>
      <protection hidden="1"/>
    </xf>
    <xf numFmtId="38" fontId="24" fillId="15" borderId="6" xfId="2" applyFont="1" applyFill="1" applyBorder="1" applyProtection="1">
      <alignment vertical="center"/>
      <protection hidden="1"/>
    </xf>
    <xf numFmtId="38" fontId="24" fillId="15" borderId="73" xfId="2" applyFont="1" applyFill="1" applyBorder="1" applyProtection="1">
      <alignment vertical="center"/>
      <protection hidden="1"/>
    </xf>
    <xf numFmtId="38" fontId="24" fillId="15" borderId="24" xfId="2" applyFont="1" applyFill="1" applyBorder="1" applyProtection="1">
      <alignment vertical="center"/>
      <protection hidden="1"/>
    </xf>
    <xf numFmtId="38" fontId="24" fillId="15" borderId="19" xfId="2" applyFont="1" applyFill="1" applyBorder="1" applyProtection="1">
      <alignment vertical="center"/>
      <protection hidden="1"/>
    </xf>
    <xf numFmtId="38" fontId="38" fillId="0" borderId="3" xfId="2" applyFont="1" applyFill="1" applyBorder="1" applyAlignment="1" applyProtection="1">
      <alignment horizontal="right" vertical="center"/>
      <protection hidden="1"/>
    </xf>
    <xf numFmtId="38" fontId="38" fillId="0" borderId="5" xfId="2" applyFont="1" applyFill="1" applyBorder="1" applyAlignment="1" applyProtection="1">
      <alignment horizontal="center" vertical="center"/>
      <protection hidden="1"/>
    </xf>
    <xf numFmtId="38" fontId="38" fillId="0" borderId="3" xfId="2" applyFont="1" applyBorder="1" applyAlignment="1" applyProtection="1">
      <alignment horizontal="right" vertical="center"/>
      <protection hidden="1"/>
    </xf>
    <xf numFmtId="38" fontId="24" fillId="6" borderId="3" xfId="2" applyFont="1" applyFill="1" applyBorder="1" applyAlignment="1" applyProtection="1">
      <alignment horizontal="right" vertical="center"/>
      <protection hidden="1"/>
    </xf>
    <xf numFmtId="0" fontId="20" fillId="17" borderId="27" xfId="0" applyFont="1" applyFill="1" applyBorder="1" applyAlignment="1" applyProtection="1">
      <alignment horizontal="center" vertical="center"/>
      <protection hidden="1"/>
    </xf>
    <xf numFmtId="182" fontId="24" fillId="17" borderId="27" xfId="0" applyNumberFormat="1" applyFont="1" applyFill="1" applyBorder="1" applyProtection="1">
      <alignment vertical="center"/>
      <protection hidden="1"/>
    </xf>
    <xf numFmtId="0" fontId="106" fillId="27" borderId="45" xfId="0" applyFont="1" applyFill="1" applyBorder="1" applyAlignment="1" applyProtection="1">
      <alignment horizontal="center" vertical="center"/>
      <protection locked="0"/>
    </xf>
    <xf numFmtId="0" fontId="106" fillId="27" borderId="42" xfId="0" applyFont="1" applyFill="1" applyBorder="1" applyAlignment="1" applyProtection="1">
      <alignment horizontal="center" vertical="center"/>
      <protection locked="0"/>
    </xf>
    <xf numFmtId="0" fontId="106" fillId="27" borderId="44" xfId="0" applyFont="1" applyFill="1" applyBorder="1" applyAlignment="1" applyProtection="1">
      <alignment horizontal="center" vertical="center"/>
      <protection locked="0"/>
    </xf>
    <xf numFmtId="0" fontId="106" fillId="28" borderId="41" xfId="0" applyFont="1" applyFill="1" applyBorder="1" applyAlignment="1" applyProtection="1">
      <alignment horizontal="center" vertical="center"/>
      <protection locked="0"/>
    </xf>
    <xf numFmtId="0" fontId="106" fillId="28" borderId="44" xfId="0" applyFont="1" applyFill="1" applyBorder="1" applyAlignment="1" applyProtection="1">
      <alignment horizontal="center" vertical="center"/>
      <protection locked="0"/>
    </xf>
    <xf numFmtId="0" fontId="106" fillId="29" borderId="52" xfId="0" applyFont="1" applyFill="1" applyBorder="1" applyAlignment="1" applyProtection="1">
      <alignment horizontal="center" vertical="center"/>
      <protection locked="0"/>
    </xf>
    <xf numFmtId="38" fontId="70" fillId="29" borderId="74" xfId="2" applyFont="1" applyFill="1" applyBorder="1" applyAlignment="1" applyProtection="1">
      <alignment horizontal="right" vertical="center"/>
      <protection hidden="1"/>
    </xf>
    <xf numFmtId="38" fontId="70" fillId="29" borderId="57" xfId="2" applyFont="1" applyFill="1" applyBorder="1" applyAlignment="1" applyProtection="1">
      <alignment horizontal="right" vertical="center"/>
      <protection hidden="1"/>
    </xf>
    <xf numFmtId="38" fontId="70" fillId="27" borderId="74" xfId="2" applyFont="1" applyFill="1" applyBorder="1" applyAlignment="1" applyProtection="1">
      <alignment horizontal="right" vertical="center"/>
      <protection hidden="1"/>
    </xf>
    <xf numFmtId="38" fontId="70" fillId="27" borderId="57" xfId="2" applyFont="1" applyFill="1" applyBorder="1" applyAlignment="1" applyProtection="1">
      <alignment horizontal="right" vertical="center"/>
      <protection hidden="1"/>
    </xf>
    <xf numFmtId="38" fontId="70" fillId="28" borderId="81" xfId="2" applyFont="1" applyFill="1" applyBorder="1" applyAlignment="1" applyProtection="1">
      <alignment horizontal="right" vertical="center"/>
      <protection hidden="1"/>
    </xf>
    <xf numFmtId="38" fontId="70" fillId="28" borderId="82" xfId="2" applyFont="1" applyFill="1" applyBorder="1" applyAlignment="1" applyProtection="1">
      <alignment horizontal="right" vertical="center"/>
      <protection hidden="1"/>
    </xf>
    <xf numFmtId="0" fontId="53" fillId="0" borderId="0" xfId="0" applyFont="1" applyAlignment="1" applyProtection="1">
      <alignment horizontal="left"/>
      <protection locked="0"/>
    </xf>
    <xf numFmtId="0" fontId="4" fillId="0" borderId="0" xfId="0" applyFont="1" applyAlignment="1" applyProtection="1">
      <alignment horizontal="left" vertical="center"/>
      <protection locked="0"/>
    </xf>
    <xf numFmtId="0" fontId="14" fillId="0" borderId="5" xfId="0" applyFont="1" applyBorder="1" applyProtection="1">
      <alignment vertical="center"/>
      <protection hidden="1"/>
    </xf>
    <xf numFmtId="0" fontId="0" fillId="0" borderId="34" xfId="0" applyBorder="1" applyProtection="1">
      <alignment vertical="center"/>
      <protection hidden="1"/>
    </xf>
    <xf numFmtId="0" fontId="0" fillId="0" borderId="59" xfId="0" applyBorder="1" applyProtection="1">
      <alignment vertical="center"/>
      <protection hidden="1"/>
    </xf>
    <xf numFmtId="0" fontId="0" fillId="0" borderId="104" xfId="0" applyBorder="1" applyProtection="1">
      <alignment vertical="center"/>
      <protection hidden="1"/>
    </xf>
    <xf numFmtId="0" fontId="108" fillId="16" borderId="69" xfId="0" applyFont="1" applyFill="1" applyBorder="1" applyAlignment="1" applyProtection="1">
      <alignment horizontal="center" vertical="center"/>
      <protection hidden="1"/>
    </xf>
    <xf numFmtId="0" fontId="109" fillId="0" borderId="17" xfId="0" applyFont="1" applyBorder="1" applyAlignment="1" applyProtection="1">
      <alignment horizontal="center" vertical="center"/>
      <protection hidden="1"/>
    </xf>
    <xf numFmtId="0" fontId="109" fillId="15" borderId="18" xfId="0" applyFont="1" applyFill="1" applyBorder="1" applyAlignment="1" applyProtection="1">
      <alignment horizontal="center" vertical="center"/>
      <protection hidden="1"/>
    </xf>
    <xf numFmtId="0" fontId="109" fillId="13" borderId="18" xfId="0" applyFont="1" applyFill="1" applyBorder="1" applyAlignment="1" applyProtection="1">
      <alignment horizontal="center" vertical="center"/>
      <protection hidden="1"/>
    </xf>
    <xf numFmtId="0" fontId="109" fillId="14" borderId="18" xfId="0" applyFont="1" applyFill="1" applyBorder="1" applyAlignment="1" applyProtection="1">
      <alignment horizontal="center" vertical="center"/>
      <protection hidden="1"/>
    </xf>
    <xf numFmtId="0" fontId="109" fillId="8" borderId="19" xfId="0" applyFont="1" applyFill="1" applyBorder="1" applyAlignment="1" applyProtection="1">
      <alignment horizontal="center" vertical="center"/>
      <protection hidden="1"/>
    </xf>
    <xf numFmtId="0" fontId="98" fillId="0" borderId="17" xfId="0" applyFont="1" applyBorder="1" applyProtection="1">
      <alignment vertical="center"/>
      <protection hidden="1"/>
    </xf>
    <xf numFmtId="0" fontId="98" fillId="0" borderId="18" xfId="0" applyFont="1" applyBorder="1" applyProtection="1">
      <alignment vertical="center"/>
      <protection hidden="1"/>
    </xf>
    <xf numFmtId="0" fontId="113" fillId="0" borderId="19" xfId="0" applyFont="1" applyBorder="1" applyAlignment="1" applyProtection="1">
      <alignment horizontal="center" vertical="center"/>
      <protection hidden="1"/>
    </xf>
    <xf numFmtId="0" fontId="118" fillId="0" borderId="0" xfId="0" applyFont="1" applyAlignment="1" applyProtection="1">
      <alignment horizontal="center" vertical="center"/>
      <protection hidden="1"/>
    </xf>
    <xf numFmtId="0" fontId="119" fillId="0" borderId="0" xfId="0" applyFont="1" applyProtection="1">
      <alignment vertical="center"/>
      <protection hidden="1"/>
    </xf>
    <xf numFmtId="0" fontId="120" fillId="0" borderId="0" xfId="0" applyFont="1" applyAlignment="1" applyProtection="1">
      <protection hidden="1"/>
    </xf>
    <xf numFmtId="0" fontId="120" fillId="0" borderId="0" xfId="0" applyFont="1" applyProtection="1">
      <alignment vertical="center"/>
      <protection hidden="1"/>
    </xf>
    <xf numFmtId="0" fontId="121" fillId="0" borderId="0" xfId="0" applyFont="1" applyProtection="1">
      <alignment vertical="center"/>
      <protection hidden="1"/>
    </xf>
    <xf numFmtId="0" fontId="122" fillId="6" borderId="27" xfId="0" applyFont="1" applyFill="1" applyBorder="1" applyAlignment="1" applyProtection="1">
      <alignment horizontal="center" vertical="center"/>
      <protection hidden="1"/>
    </xf>
    <xf numFmtId="0" fontId="123" fillId="0" borderId="0" xfId="0" applyFont="1" applyProtection="1">
      <alignment vertical="center"/>
      <protection hidden="1"/>
    </xf>
    <xf numFmtId="0" fontId="124" fillId="0" borderId="0" xfId="0" applyFont="1" applyAlignment="1" applyProtection="1">
      <alignment horizontal="right" vertical="center"/>
      <protection hidden="1"/>
    </xf>
    <xf numFmtId="0" fontId="125" fillId="0" borderId="0" xfId="0" applyFont="1" applyProtection="1">
      <alignment vertical="center"/>
      <protection hidden="1"/>
    </xf>
    <xf numFmtId="0" fontId="124" fillId="7" borderId="2" xfId="0" applyFont="1" applyFill="1" applyBorder="1" applyAlignment="1" applyProtection="1">
      <alignment horizontal="center" vertical="center"/>
      <protection hidden="1"/>
    </xf>
    <xf numFmtId="0" fontId="121" fillId="0" borderId="0" xfId="0" applyFont="1" applyAlignment="1" applyProtection="1">
      <alignment horizontal="center" vertical="center"/>
      <protection hidden="1"/>
    </xf>
    <xf numFmtId="0" fontId="119" fillId="0" borderId="0" xfId="0" applyFont="1" applyAlignment="1" applyProtection="1">
      <alignment horizontal="center" vertical="center"/>
      <protection hidden="1"/>
    </xf>
    <xf numFmtId="0" fontId="124" fillId="0" borderId="0" xfId="0" applyFont="1" applyAlignment="1" applyProtection="1">
      <alignment horizontal="center" vertical="center"/>
      <protection hidden="1"/>
    </xf>
    <xf numFmtId="0" fontId="124" fillId="0" borderId="0" xfId="0" applyFont="1" applyProtection="1">
      <alignment vertical="center"/>
      <protection hidden="1"/>
    </xf>
    <xf numFmtId="0" fontId="127" fillId="6" borderId="2" xfId="0" applyFont="1" applyFill="1" applyBorder="1" applyAlignment="1" applyProtection="1">
      <alignment horizontal="center" vertical="center"/>
      <protection hidden="1"/>
    </xf>
    <xf numFmtId="181" fontId="119" fillId="0" borderId="0" xfId="0" applyNumberFormat="1" applyFont="1" applyAlignment="1" applyProtection="1">
      <alignment horizontal="center" vertical="center"/>
      <protection hidden="1"/>
    </xf>
    <xf numFmtId="38" fontId="127" fillId="6" borderId="2" xfId="2" applyFont="1" applyFill="1" applyBorder="1" applyProtection="1">
      <alignment vertical="center"/>
      <protection hidden="1"/>
    </xf>
    <xf numFmtId="38" fontId="127" fillId="0" borderId="2" xfId="2" applyFont="1" applyFill="1" applyBorder="1" applyProtection="1">
      <alignment vertical="center"/>
      <protection hidden="1"/>
    </xf>
    <xf numFmtId="38" fontId="127" fillId="0" borderId="0" xfId="2" applyFont="1" applyFill="1" applyBorder="1" applyProtection="1">
      <alignment vertical="center"/>
      <protection hidden="1"/>
    </xf>
    <xf numFmtId="38" fontId="128" fillId="7" borderId="2" xfId="2" applyFont="1" applyFill="1" applyBorder="1" applyAlignment="1" applyProtection="1">
      <alignment horizontal="center" vertical="center"/>
      <protection hidden="1"/>
    </xf>
    <xf numFmtId="0" fontId="127" fillId="0" borderId="0" xfId="0" applyFont="1" applyAlignment="1" applyProtection="1">
      <alignment horizontal="center" vertical="center"/>
      <protection hidden="1"/>
    </xf>
    <xf numFmtId="38" fontId="127" fillId="0" borderId="0" xfId="2" applyFont="1" applyFill="1" applyBorder="1" applyAlignment="1" applyProtection="1">
      <alignment horizontal="center" vertical="center"/>
      <protection hidden="1"/>
    </xf>
    <xf numFmtId="38" fontId="127" fillId="6" borderId="2" xfId="2" applyFont="1" applyFill="1" applyBorder="1" applyAlignment="1" applyProtection="1">
      <alignment horizontal="center" vertical="center"/>
      <protection hidden="1"/>
    </xf>
    <xf numFmtId="38" fontId="121" fillId="6" borderId="27" xfId="2" applyFont="1" applyFill="1" applyBorder="1" applyAlignment="1" applyProtection="1">
      <alignment horizontal="center" vertical="center"/>
      <protection hidden="1"/>
    </xf>
    <xf numFmtId="0" fontId="125" fillId="0" borderId="0" xfId="0" applyFont="1" applyAlignment="1" applyProtection="1">
      <alignment horizontal="left" vertical="center"/>
      <protection hidden="1"/>
    </xf>
    <xf numFmtId="0" fontId="119" fillId="0" borderId="0" xfId="0" applyFont="1" applyAlignment="1" applyProtection="1">
      <alignment horizontal="right" vertical="center"/>
      <protection hidden="1"/>
    </xf>
    <xf numFmtId="38" fontId="127" fillId="6" borderId="51" xfId="2" applyFont="1" applyFill="1" applyBorder="1" applyAlignment="1" applyProtection="1">
      <alignment horizontal="center" vertical="center"/>
      <protection hidden="1"/>
    </xf>
    <xf numFmtId="38" fontId="127" fillId="6" borderId="19" xfId="2" applyFont="1" applyFill="1" applyBorder="1" applyAlignment="1" applyProtection="1">
      <alignment horizontal="center" vertical="center"/>
      <protection hidden="1"/>
    </xf>
    <xf numFmtId="0" fontId="124" fillId="7" borderId="9" xfId="0" applyFont="1" applyFill="1" applyBorder="1" applyAlignment="1" applyProtection="1">
      <alignment horizontal="center" vertical="center"/>
      <protection hidden="1"/>
    </xf>
    <xf numFmtId="38" fontId="124" fillId="0" borderId="0" xfId="2" applyFont="1" applyFill="1" applyBorder="1" applyAlignment="1" applyProtection="1">
      <alignment horizontal="left" vertical="center"/>
      <protection hidden="1"/>
    </xf>
    <xf numFmtId="38" fontId="128" fillId="0" borderId="2" xfId="2" applyFont="1" applyBorder="1" applyAlignment="1" applyProtection="1">
      <alignment horizontal="center" vertical="center"/>
      <protection hidden="1"/>
    </xf>
    <xf numFmtId="0" fontId="128" fillId="14" borderId="2" xfId="0" applyFont="1" applyFill="1" applyBorder="1" applyProtection="1">
      <alignment vertical="center"/>
      <protection hidden="1"/>
    </xf>
    <xf numFmtId="0" fontId="119" fillId="0" borderId="0" xfId="0" applyFont="1" applyAlignment="1" applyProtection="1">
      <alignment horizontal="left" vertical="center"/>
      <protection hidden="1"/>
    </xf>
    <xf numFmtId="38" fontId="124" fillId="0" borderId="0" xfId="2" applyFont="1" applyFill="1" applyBorder="1" applyAlignment="1" applyProtection="1">
      <alignment horizontal="center" vertical="center"/>
      <protection hidden="1"/>
    </xf>
    <xf numFmtId="0" fontId="131" fillId="0" borderId="0" xfId="0" applyFont="1" applyAlignment="1" applyProtection="1">
      <alignment horizontal="left" vertical="center"/>
      <protection hidden="1"/>
    </xf>
    <xf numFmtId="0" fontId="128" fillId="2" borderId="3" xfId="0" applyFont="1" applyFill="1" applyBorder="1" applyAlignment="1" applyProtection="1">
      <alignment horizontal="center" vertical="center"/>
      <protection hidden="1"/>
    </xf>
    <xf numFmtId="0" fontId="128" fillId="8" borderId="28" xfId="0" applyFont="1" applyFill="1" applyBorder="1" applyAlignment="1" applyProtection="1">
      <alignment horizontal="center" vertical="center" wrapText="1"/>
      <protection hidden="1"/>
    </xf>
    <xf numFmtId="0" fontId="128" fillId="8" borderId="5" xfId="0" applyFont="1" applyFill="1" applyBorder="1" applyAlignment="1" applyProtection="1">
      <alignment horizontal="center" vertical="center" wrapText="1"/>
      <protection hidden="1"/>
    </xf>
    <xf numFmtId="0" fontId="128" fillId="26" borderId="21" xfId="0" applyFont="1" applyFill="1" applyBorder="1" applyAlignment="1" applyProtection="1">
      <alignment horizontal="center" vertical="center" wrapText="1"/>
      <protection hidden="1"/>
    </xf>
    <xf numFmtId="0" fontId="128" fillId="19" borderId="14" xfId="0" applyFont="1" applyFill="1" applyBorder="1" applyAlignment="1" applyProtection="1">
      <alignment horizontal="center" vertical="center" wrapText="1"/>
      <protection hidden="1"/>
    </xf>
    <xf numFmtId="0" fontId="128" fillId="26" borderId="14" xfId="0" applyFont="1" applyFill="1" applyBorder="1" applyAlignment="1" applyProtection="1">
      <alignment horizontal="center" vertical="center" wrapText="1"/>
      <protection hidden="1"/>
    </xf>
    <xf numFmtId="0" fontId="128" fillId="19" borderId="27" xfId="0" applyFont="1" applyFill="1" applyBorder="1" applyAlignment="1" applyProtection="1">
      <alignment horizontal="center" vertical="center" wrapText="1"/>
      <protection hidden="1"/>
    </xf>
    <xf numFmtId="0" fontId="128" fillId="8" borderId="27" xfId="0" applyFont="1" applyFill="1" applyBorder="1" applyAlignment="1" applyProtection="1">
      <alignment horizontal="center" vertical="center" wrapText="1"/>
      <protection hidden="1"/>
    </xf>
    <xf numFmtId="0" fontId="128" fillId="8" borderId="52" xfId="0" applyFont="1" applyFill="1" applyBorder="1" applyAlignment="1" applyProtection="1">
      <alignment horizontal="center" vertical="center" wrapText="1"/>
      <protection hidden="1"/>
    </xf>
    <xf numFmtId="0" fontId="128" fillId="8" borderId="2" xfId="0" applyFont="1" applyFill="1" applyBorder="1" applyAlignment="1" applyProtection="1">
      <alignment horizontal="center" vertical="center" wrapText="1"/>
      <protection hidden="1"/>
    </xf>
    <xf numFmtId="0" fontId="128" fillId="8" borderId="25" xfId="0" applyFont="1" applyFill="1" applyBorder="1" applyAlignment="1" applyProtection="1">
      <alignment horizontal="center" vertical="center" wrapText="1"/>
      <protection hidden="1"/>
    </xf>
    <xf numFmtId="0" fontId="128" fillId="8" borderId="65" xfId="0" applyFont="1" applyFill="1" applyBorder="1" applyAlignment="1" applyProtection="1">
      <alignment horizontal="center" vertical="center" wrapText="1"/>
      <protection hidden="1"/>
    </xf>
    <xf numFmtId="0" fontId="128" fillId="17" borderId="27" xfId="0" applyFont="1" applyFill="1" applyBorder="1" applyAlignment="1" applyProtection="1">
      <alignment horizontal="center" vertical="center" wrapText="1"/>
      <protection hidden="1"/>
    </xf>
    <xf numFmtId="0" fontId="128" fillId="17" borderId="52" xfId="0" applyFont="1" applyFill="1" applyBorder="1" applyAlignment="1" applyProtection="1">
      <alignment horizontal="center" vertical="center" wrapText="1"/>
      <protection hidden="1"/>
    </xf>
    <xf numFmtId="0" fontId="128" fillId="19" borderId="66" xfId="0" applyFont="1" applyFill="1" applyBorder="1" applyAlignment="1" applyProtection="1">
      <alignment horizontal="center" vertical="center" wrapText="1"/>
      <protection hidden="1"/>
    </xf>
    <xf numFmtId="0" fontId="128" fillId="19" borderId="24" xfId="0" applyFont="1" applyFill="1" applyBorder="1" applyAlignment="1" applyProtection="1">
      <alignment horizontal="center" vertical="center" wrapText="1"/>
      <protection hidden="1"/>
    </xf>
    <xf numFmtId="0" fontId="128" fillId="17" borderId="71" xfId="0" applyFont="1" applyFill="1" applyBorder="1" applyAlignment="1" applyProtection="1">
      <alignment horizontal="center" vertical="center" wrapText="1"/>
      <protection hidden="1"/>
    </xf>
    <xf numFmtId="0" fontId="128" fillId="17" borderId="61" xfId="0" applyFont="1" applyFill="1" applyBorder="1" applyAlignment="1" applyProtection="1">
      <alignment horizontal="center" vertical="center" wrapText="1"/>
      <protection hidden="1"/>
    </xf>
    <xf numFmtId="0" fontId="128" fillId="17" borderId="2" xfId="0" applyFont="1" applyFill="1" applyBorder="1" applyAlignment="1" applyProtection="1">
      <alignment horizontal="center" vertical="center" wrapText="1"/>
      <protection hidden="1"/>
    </xf>
    <xf numFmtId="0" fontId="119" fillId="2" borderId="3" xfId="0" applyFont="1" applyFill="1" applyBorder="1" applyAlignment="1" applyProtection="1">
      <alignment horizontal="center" vertical="center"/>
      <protection hidden="1"/>
    </xf>
    <xf numFmtId="38" fontId="127" fillId="6" borderId="27" xfId="0" applyNumberFormat="1" applyFont="1" applyFill="1" applyBorder="1" applyAlignment="1" applyProtection="1">
      <alignment horizontal="center" vertical="center"/>
      <protection hidden="1"/>
    </xf>
    <xf numFmtId="38" fontId="127" fillId="6" borderId="0" xfId="0" applyNumberFormat="1" applyFont="1" applyFill="1" applyAlignment="1" applyProtection="1">
      <alignment horizontal="center" vertical="center"/>
      <protection hidden="1"/>
    </xf>
    <xf numFmtId="38" fontId="124" fillId="6" borderId="2" xfId="2" applyFont="1" applyFill="1" applyBorder="1" applyAlignment="1" applyProtection="1">
      <alignment horizontal="right" vertical="center"/>
      <protection hidden="1"/>
    </xf>
    <xf numFmtId="0" fontId="124" fillId="6" borderId="71" xfId="0" applyFont="1" applyFill="1" applyBorder="1" applyAlignment="1" applyProtection="1">
      <alignment horizontal="center" vertical="center"/>
      <protection hidden="1"/>
    </xf>
    <xf numFmtId="182" fontId="124" fillId="6" borderId="27" xfId="0" applyNumberFormat="1" applyFont="1" applyFill="1" applyBorder="1" applyProtection="1">
      <alignment vertical="center"/>
      <protection hidden="1"/>
    </xf>
    <xf numFmtId="38" fontId="124" fillId="6" borderId="33" xfId="0" applyNumberFormat="1" applyFont="1" applyFill="1" applyBorder="1" applyProtection="1">
      <alignment vertical="center"/>
      <protection hidden="1"/>
    </xf>
    <xf numFmtId="38" fontId="124" fillId="6" borderId="32" xfId="0" applyNumberFormat="1" applyFont="1" applyFill="1" applyBorder="1" applyProtection="1">
      <alignment vertical="center"/>
      <protection hidden="1"/>
    </xf>
    <xf numFmtId="38" fontId="124" fillId="6" borderId="2" xfId="0" applyNumberFormat="1" applyFont="1" applyFill="1" applyBorder="1" applyProtection="1">
      <alignment vertical="center"/>
      <protection hidden="1"/>
    </xf>
    <xf numFmtId="38" fontId="124" fillId="6" borderId="33" xfId="2" applyFont="1" applyFill="1" applyBorder="1" applyProtection="1">
      <alignment vertical="center"/>
      <protection hidden="1"/>
    </xf>
    <xf numFmtId="38" fontId="124" fillId="6" borderId="51" xfId="0" applyNumberFormat="1" applyFont="1" applyFill="1" applyBorder="1" applyProtection="1">
      <alignment vertical="center"/>
      <protection hidden="1"/>
    </xf>
    <xf numFmtId="38" fontId="124" fillId="18" borderId="62" xfId="2" applyFont="1" applyFill="1" applyBorder="1" applyProtection="1">
      <alignment vertical="center"/>
      <protection hidden="1"/>
    </xf>
    <xf numFmtId="38" fontId="124" fillId="18" borderId="32" xfId="2" applyFont="1" applyFill="1" applyBorder="1" applyProtection="1">
      <alignment vertical="center"/>
      <protection hidden="1"/>
    </xf>
    <xf numFmtId="38" fontId="124" fillId="16" borderId="29" xfId="2" applyFont="1" applyFill="1" applyBorder="1" applyProtection="1">
      <alignment vertical="center"/>
      <protection hidden="1"/>
    </xf>
    <xf numFmtId="38" fontId="124" fillId="16" borderId="17" xfId="2" applyFont="1" applyFill="1" applyBorder="1" applyProtection="1">
      <alignment vertical="center"/>
      <protection hidden="1"/>
    </xf>
    <xf numFmtId="38" fontId="124" fillId="18" borderId="47" xfId="2" applyFont="1" applyFill="1" applyBorder="1" applyProtection="1">
      <alignment vertical="center"/>
      <protection hidden="1"/>
    </xf>
    <xf numFmtId="38" fontId="124" fillId="18" borderId="33" xfId="2" applyFont="1" applyFill="1" applyBorder="1" applyProtection="1">
      <alignment vertical="center"/>
      <protection hidden="1"/>
    </xf>
    <xf numFmtId="38" fontId="124" fillId="18" borderId="13" xfId="2" applyFont="1" applyFill="1" applyBorder="1" applyProtection="1">
      <alignment vertical="center"/>
      <protection hidden="1"/>
    </xf>
    <xf numFmtId="38" fontId="124" fillId="18" borderId="2" xfId="2" applyFont="1" applyFill="1" applyBorder="1" applyProtection="1">
      <alignment vertical="center"/>
      <protection hidden="1"/>
    </xf>
    <xf numFmtId="38" fontId="124" fillId="6" borderId="47" xfId="0" applyNumberFormat="1" applyFont="1" applyFill="1" applyBorder="1" applyAlignment="1" applyProtection="1">
      <alignment horizontal="center" vertical="center"/>
      <protection hidden="1"/>
    </xf>
    <xf numFmtId="38" fontId="124" fillId="6" borderId="5" xfId="0" applyNumberFormat="1" applyFont="1" applyFill="1" applyBorder="1" applyAlignment="1" applyProtection="1">
      <alignment horizontal="center" vertical="center"/>
      <protection hidden="1"/>
    </xf>
    <xf numFmtId="0" fontId="124" fillId="6" borderId="33" xfId="0" applyFont="1" applyFill="1" applyBorder="1" applyAlignment="1" applyProtection="1">
      <alignment horizontal="center" vertical="center"/>
      <protection hidden="1"/>
    </xf>
    <xf numFmtId="182" fontId="124" fillId="6" borderId="12" xfId="0" applyNumberFormat="1" applyFont="1" applyFill="1" applyBorder="1" applyProtection="1">
      <alignment vertical="center"/>
      <protection hidden="1"/>
    </xf>
    <xf numFmtId="38" fontId="124" fillId="6" borderId="5" xfId="2" applyFont="1" applyFill="1" applyBorder="1" applyProtection="1">
      <alignment vertical="center"/>
      <protection hidden="1"/>
    </xf>
    <xf numFmtId="38" fontId="124" fillId="18" borderId="1" xfId="2" applyFont="1" applyFill="1" applyBorder="1" applyProtection="1">
      <alignment vertical="center"/>
      <protection hidden="1"/>
    </xf>
    <xf numFmtId="38" fontId="124" fillId="16" borderId="75" xfId="2" applyFont="1" applyFill="1" applyBorder="1" applyProtection="1">
      <alignment vertical="center"/>
      <protection hidden="1"/>
    </xf>
    <xf numFmtId="38" fontId="124" fillId="16" borderId="18" xfId="2" applyFont="1" applyFill="1" applyBorder="1" applyProtection="1">
      <alignment vertical="center"/>
      <protection hidden="1"/>
    </xf>
    <xf numFmtId="38" fontId="124" fillId="18" borderId="5" xfId="2" applyFont="1" applyFill="1" applyBorder="1" applyProtection="1">
      <alignment vertical="center"/>
      <protection hidden="1"/>
    </xf>
    <xf numFmtId="38" fontId="124" fillId="6" borderId="13" xfId="0" applyNumberFormat="1" applyFont="1" applyFill="1" applyBorder="1" applyAlignment="1" applyProtection="1">
      <alignment horizontal="center" vertical="center"/>
      <protection hidden="1"/>
    </xf>
    <xf numFmtId="0" fontId="124" fillId="6" borderId="5" xfId="0" applyFont="1" applyFill="1" applyBorder="1" applyAlignment="1" applyProtection="1">
      <alignment horizontal="center" vertical="center"/>
      <protection hidden="1"/>
    </xf>
    <xf numFmtId="182" fontId="124" fillId="6" borderId="2" xfId="0" applyNumberFormat="1" applyFont="1" applyFill="1" applyBorder="1" applyProtection="1">
      <alignment vertical="center"/>
      <protection hidden="1"/>
    </xf>
    <xf numFmtId="38" fontId="124" fillId="6" borderId="5" xfId="2" applyFont="1" applyFill="1" applyBorder="1" applyAlignment="1" applyProtection="1">
      <alignment horizontal="right" vertical="center"/>
      <protection hidden="1"/>
    </xf>
    <xf numFmtId="38" fontId="124" fillId="6" borderId="66" xfId="0" applyNumberFormat="1" applyFont="1" applyFill="1" applyBorder="1" applyAlignment="1" applyProtection="1">
      <alignment horizontal="center" vertical="center"/>
      <protection hidden="1"/>
    </xf>
    <xf numFmtId="38" fontId="124" fillId="6" borderId="0" xfId="0" applyNumberFormat="1" applyFont="1" applyFill="1" applyAlignment="1" applyProtection="1">
      <alignment horizontal="center" vertical="center"/>
      <protection hidden="1"/>
    </xf>
    <xf numFmtId="38" fontId="124" fillId="6" borderId="60" xfId="2" applyFont="1" applyFill="1" applyBorder="1" applyProtection="1">
      <alignment vertical="center"/>
      <protection hidden="1"/>
    </xf>
    <xf numFmtId="38" fontId="124" fillId="18" borderId="6" xfId="2" applyFont="1" applyFill="1" applyBorder="1" applyProtection="1">
      <alignment vertical="center"/>
      <protection hidden="1"/>
    </xf>
    <xf numFmtId="38" fontId="124" fillId="18" borderId="73" xfId="2" applyFont="1" applyFill="1" applyBorder="1" applyProtection="1">
      <alignment vertical="center"/>
      <protection hidden="1"/>
    </xf>
    <xf numFmtId="38" fontId="124" fillId="16" borderId="24" xfId="2" applyFont="1" applyFill="1" applyBorder="1" applyProtection="1">
      <alignment vertical="center"/>
      <protection hidden="1"/>
    </xf>
    <xf numFmtId="38" fontId="124" fillId="16" borderId="19" xfId="2" applyFont="1" applyFill="1" applyBorder="1" applyProtection="1">
      <alignment vertical="center"/>
      <protection hidden="1"/>
    </xf>
    <xf numFmtId="38" fontId="124" fillId="18" borderId="64" xfId="2" applyFont="1" applyFill="1" applyBorder="1" applyProtection="1">
      <alignment vertical="center"/>
      <protection hidden="1"/>
    </xf>
    <xf numFmtId="38" fontId="124" fillId="18" borderId="66" xfId="2" applyFont="1" applyFill="1" applyBorder="1" applyProtection="1">
      <alignment vertical="center"/>
      <protection hidden="1"/>
    </xf>
    <xf numFmtId="38" fontId="124" fillId="18" borderId="25" xfId="2" applyFont="1" applyFill="1" applyBorder="1" applyProtection="1">
      <alignment vertical="center"/>
      <protection hidden="1"/>
    </xf>
    <xf numFmtId="0" fontId="119" fillId="0" borderId="2" xfId="0" applyFont="1" applyBorder="1" applyProtection="1">
      <alignment vertical="center"/>
      <protection hidden="1"/>
    </xf>
    <xf numFmtId="0" fontId="124" fillId="7" borderId="12" xfId="0" applyFont="1" applyFill="1" applyBorder="1" applyAlignment="1" applyProtection="1">
      <alignment horizontal="center" vertical="center"/>
      <protection hidden="1"/>
    </xf>
    <xf numFmtId="0" fontId="127" fillId="6" borderId="12" xfId="0" applyFont="1" applyFill="1" applyBorder="1" applyAlignment="1" applyProtection="1">
      <alignment horizontal="center" vertical="center"/>
      <protection hidden="1"/>
    </xf>
    <xf numFmtId="38" fontId="124" fillId="8" borderId="2" xfId="2" applyFont="1" applyFill="1" applyBorder="1" applyAlignment="1" applyProtection="1">
      <alignment horizontal="right" vertical="center"/>
      <protection hidden="1"/>
    </xf>
    <xf numFmtId="38" fontId="124" fillId="8" borderId="5" xfId="2" applyFont="1" applyFill="1" applyBorder="1" applyAlignment="1" applyProtection="1">
      <alignment horizontal="right" vertical="center"/>
      <protection hidden="1"/>
    </xf>
    <xf numFmtId="182" fontId="132" fillId="0" borderId="27" xfId="0" applyNumberFormat="1" applyFont="1" applyBorder="1" applyProtection="1">
      <alignment vertical="center"/>
      <protection hidden="1"/>
    </xf>
    <xf numFmtId="38" fontId="37" fillId="6" borderId="32" xfId="0" applyNumberFormat="1" applyFont="1" applyFill="1" applyBorder="1" applyAlignment="1" applyProtection="1">
      <alignment horizontal="center" vertical="center"/>
      <protection hidden="1"/>
    </xf>
    <xf numFmtId="0" fontId="45" fillId="0" borderId="2" xfId="0" applyFont="1" applyBorder="1" applyAlignment="1" applyProtection="1">
      <alignment horizontal="center" vertical="center"/>
      <protection hidden="1"/>
    </xf>
    <xf numFmtId="0" fontId="24" fillId="0" borderId="2" xfId="0" applyFont="1" applyBorder="1" applyAlignment="1" applyProtection="1">
      <alignment horizontal="center" vertical="center"/>
      <protection hidden="1"/>
    </xf>
    <xf numFmtId="38" fontId="38" fillId="0" borderId="0" xfId="2" applyFont="1" applyFill="1" applyBorder="1" applyAlignment="1" applyProtection="1">
      <alignment vertical="center"/>
      <protection hidden="1"/>
    </xf>
    <xf numFmtId="187" fontId="37" fillId="0" borderId="2" xfId="0" applyNumberFormat="1" applyFont="1" applyBorder="1" applyAlignment="1" applyProtection="1">
      <alignment horizontal="center" vertical="center"/>
      <protection hidden="1"/>
    </xf>
    <xf numFmtId="38" fontId="38" fillId="0" borderId="5" xfId="2" applyFont="1" applyFill="1" applyBorder="1" applyAlignment="1" applyProtection="1">
      <alignment vertical="center"/>
      <protection hidden="1"/>
    </xf>
    <xf numFmtId="0" fontId="38" fillId="0" borderId="5" xfId="0" applyFont="1" applyBorder="1" applyProtection="1">
      <alignment vertical="center"/>
      <protection hidden="1"/>
    </xf>
    <xf numFmtId="0" fontId="5" fillId="16" borderId="12" xfId="0" applyFont="1" applyFill="1" applyBorder="1" applyAlignment="1" applyProtection="1">
      <alignment horizontal="center" vertical="center"/>
      <protection hidden="1"/>
    </xf>
    <xf numFmtId="0" fontId="14" fillId="16" borderId="2" xfId="0" applyFont="1" applyFill="1" applyBorder="1" applyAlignment="1" applyProtection="1">
      <alignment horizontal="center" vertical="center"/>
      <protection hidden="1"/>
    </xf>
    <xf numFmtId="0" fontId="5" fillId="22" borderId="52" xfId="0" applyFont="1" applyFill="1" applyBorder="1" applyAlignment="1" applyProtection="1">
      <alignment horizontal="center" vertical="center"/>
      <protection hidden="1"/>
    </xf>
    <xf numFmtId="0" fontId="14" fillId="16" borderId="32" xfId="0" applyFont="1" applyFill="1" applyBorder="1" applyAlignment="1" applyProtection="1">
      <alignment horizontal="center" vertical="center"/>
      <protection hidden="1"/>
    </xf>
    <xf numFmtId="0" fontId="14" fillId="16" borderId="3" xfId="0" applyFont="1" applyFill="1" applyBorder="1" applyAlignment="1" applyProtection="1">
      <alignment horizontal="center" vertical="center"/>
      <protection hidden="1"/>
    </xf>
    <xf numFmtId="0" fontId="23" fillId="6" borderId="27" xfId="0" applyFont="1" applyFill="1" applyBorder="1" applyAlignment="1" applyProtection="1">
      <alignment horizontal="center" vertical="center" wrapText="1"/>
      <protection hidden="1"/>
    </xf>
    <xf numFmtId="0" fontId="20" fillId="6" borderId="71" xfId="0" applyFont="1" applyFill="1" applyBorder="1" applyAlignment="1" applyProtection="1">
      <alignment horizontal="center" vertical="center" wrapText="1"/>
      <protection hidden="1"/>
    </xf>
    <xf numFmtId="0" fontId="24" fillId="6" borderId="27" xfId="0" applyFont="1" applyFill="1" applyBorder="1" applyAlignment="1" applyProtection="1">
      <alignment horizontal="center" vertical="center" wrapText="1"/>
      <protection hidden="1"/>
    </xf>
    <xf numFmtId="0" fontId="24" fillId="6" borderId="43" xfId="0" applyFont="1" applyFill="1" applyBorder="1" applyAlignment="1" applyProtection="1">
      <alignment horizontal="center" vertical="center" wrapText="1"/>
      <protection hidden="1"/>
    </xf>
    <xf numFmtId="0" fontId="24" fillId="6" borderId="42" xfId="0" applyFont="1" applyFill="1" applyBorder="1" applyAlignment="1" applyProtection="1">
      <alignment horizontal="center" vertical="center" wrapText="1"/>
      <protection hidden="1"/>
    </xf>
    <xf numFmtId="0" fontId="24" fillId="6" borderId="52" xfId="0" applyFont="1" applyFill="1" applyBorder="1" applyAlignment="1" applyProtection="1">
      <alignment horizontal="center" vertical="center" wrapText="1"/>
      <protection hidden="1"/>
    </xf>
    <xf numFmtId="38" fontId="24" fillId="0" borderId="0" xfId="0" applyNumberFormat="1" applyFont="1" applyAlignment="1" applyProtection="1">
      <alignment horizontal="center" vertical="center"/>
      <protection hidden="1"/>
    </xf>
    <xf numFmtId="38" fontId="24" fillId="0" borderId="2" xfId="0" applyNumberFormat="1" applyFont="1" applyBorder="1" applyAlignment="1" applyProtection="1">
      <alignment horizontal="center" vertical="center"/>
      <protection hidden="1"/>
    </xf>
    <xf numFmtId="38" fontId="24" fillId="0" borderId="51" xfId="0" applyNumberFormat="1" applyFont="1" applyBorder="1" applyProtection="1">
      <alignment vertical="center"/>
      <protection hidden="1"/>
    </xf>
    <xf numFmtId="38" fontId="24" fillId="0" borderId="47" xfId="0" applyNumberFormat="1" applyFont="1" applyBorder="1" applyProtection="1">
      <alignment vertical="center"/>
      <protection hidden="1"/>
    </xf>
    <xf numFmtId="38" fontId="24" fillId="0" borderId="51" xfId="2" applyFont="1" applyFill="1" applyBorder="1" applyProtection="1">
      <alignment vertical="center"/>
      <protection hidden="1"/>
    </xf>
    <xf numFmtId="38" fontId="24" fillId="0" borderId="3" xfId="0" applyNumberFormat="1" applyFont="1" applyBorder="1" applyAlignment="1" applyProtection="1">
      <alignment horizontal="center" vertical="center"/>
      <protection hidden="1"/>
    </xf>
    <xf numFmtId="38" fontId="24" fillId="0" borderId="54" xfId="0" applyNumberFormat="1" applyFont="1" applyBorder="1" applyProtection="1">
      <alignment vertical="center"/>
      <protection hidden="1"/>
    </xf>
    <xf numFmtId="38" fontId="24" fillId="0" borderId="3" xfId="2" applyFont="1" applyFill="1" applyBorder="1" applyProtection="1">
      <alignment vertical="center"/>
      <protection hidden="1"/>
    </xf>
    <xf numFmtId="38" fontId="24" fillId="0" borderId="18" xfId="2" applyFont="1" applyFill="1" applyBorder="1" applyProtection="1">
      <alignment vertical="center"/>
      <protection hidden="1"/>
    </xf>
    <xf numFmtId="38" fontId="37" fillId="0" borderId="2" xfId="0" applyNumberFormat="1" applyFont="1" applyBorder="1" applyAlignment="1" applyProtection="1">
      <alignment horizontal="center" vertical="center"/>
      <protection hidden="1"/>
    </xf>
    <xf numFmtId="38" fontId="20" fillId="0" borderId="2" xfId="0" applyNumberFormat="1" applyFont="1" applyBorder="1" applyAlignment="1" applyProtection="1">
      <alignment horizontal="center" vertical="center"/>
      <protection hidden="1"/>
    </xf>
    <xf numFmtId="38" fontId="24" fillId="0" borderId="2" xfId="0" applyNumberFormat="1" applyFont="1" applyBorder="1" applyProtection="1">
      <alignment vertical="center"/>
      <protection hidden="1"/>
    </xf>
    <xf numFmtId="0" fontId="12" fillId="6" borderId="27" xfId="0" applyFont="1" applyFill="1" applyBorder="1" applyAlignment="1" applyProtection="1">
      <alignment horizontal="center" vertical="center" wrapText="1"/>
      <protection hidden="1"/>
    </xf>
    <xf numFmtId="0" fontId="12" fillId="6" borderId="71" xfId="0" applyFont="1" applyFill="1" applyBorder="1" applyAlignment="1" applyProtection="1">
      <alignment horizontal="center" vertical="center" wrapText="1"/>
      <protection hidden="1"/>
    </xf>
    <xf numFmtId="0" fontId="28" fillId="6" borderId="27" xfId="0" applyFont="1" applyFill="1" applyBorder="1" applyAlignment="1" applyProtection="1">
      <alignment horizontal="center" vertical="center" wrapText="1"/>
      <protection hidden="1"/>
    </xf>
    <xf numFmtId="0" fontId="28" fillId="6" borderId="71" xfId="0" applyFont="1" applyFill="1" applyBorder="1" applyAlignment="1" applyProtection="1">
      <alignment horizontal="center" vertical="center" wrapText="1"/>
      <protection hidden="1"/>
    </xf>
    <xf numFmtId="0" fontId="5" fillId="6" borderId="27" xfId="0" applyFont="1" applyFill="1" applyBorder="1" applyAlignment="1" applyProtection="1">
      <alignment horizontal="center" vertical="center" wrapText="1"/>
      <protection hidden="1"/>
    </xf>
    <xf numFmtId="0" fontId="5" fillId="6" borderId="43" xfId="0" applyFont="1" applyFill="1" applyBorder="1" applyAlignment="1" applyProtection="1">
      <alignment horizontal="center" vertical="center" wrapText="1"/>
      <protection hidden="1"/>
    </xf>
    <xf numFmtId="0" fontId="5" fillId="6" borderId="42" xfId="0" applyFont="1" applyFill="1" applyBorder="1" applyAlignment="1" applyProtection="1">
      <alignment horizontal="center" vertical="center" wrapText="1"/>
      <protection hidden="1"/>
    </xf>
    <xf numFmtId="0" fontId="42" fillId="6" borderId="52" xfId="0" applyFont="1" applyFill="1" applyBorder="1" applyAlignment="1" applyProtection="1">
      <alignment horizontal="center" vertical="center" wrapText="1"/>
      <protection hidden="1"/>
    </xf>
    <xf numFmtId="38" fontId="20" fillId="0" borderId="13" xfId="2" applyFont="1" applyFill="1" applyBorder="1" applyAlignment="1" applyProtection="1">
      <alignment horizontal="right" vertical="center"/>
      <protection hidden="1"/>
    </xf>
    <xf numFmtId="38" fontId="24" fillId="0" borderId="66" xfId="0" applyNumberFormat="1" applyFont="1" applyBorder="1" applyAlignment="1" applyProtection="1">
      <alignment horizontal="right" vertical="center"/>
      <protection hidden="1"/>
    </xf>
    <xf numFmtId="38" fontId="24" fillId="0" borderId="63" xfId="0" applyNumberFormat="1" applyFont="1" applyBorder="1" applyProtection="1">
      <alignment vertical="center"/>
      <protection hidden="1"/>
    </xf>
    <xf numFmtId="38" fontId="20" fillId="0" borderId="5" xfId="2" applyFont="1" applyFill="1" applyBorder="1" applyAlignment="1" applyProtection="1">
      <alignment horizontal="right" vertical="center"/>
      <protection hidden="1"/>
    </xf>
    <xf numFmtId="38" fontId="24" fillId="0" borderId="12" xfId="0" applyNumberFormat="1" applyFont="1" applyBorder="1" applyAlignment="1" applyProtection="1">
      <alignment horizontal="right" vertical="center"/>
      <protection hidden="1"/>
    </xf>
    <xf numFmtId="38" fontId="24" fillId="0" borderId="2" xfId="0" applyNumberFormat="1" applyFont="1" applyBorder="1" applyAlignment="1" applyProtection="1">
      <alignment horizontal="right" vertical="center"/>
      <protection hidden="1"/>
    </xf>
    <xf numFmtId="38" fontId="24" fillId="0" borderId="36" xfId="0" applyNumberFormat="1" applyFont="1" applyBorder="1" applyAlignment="1" applyProtection="1">
      <alignment horizontal="center" vertical="center"/>
      <protection hidden="1"/>
    </xf>
    <xf numFmtId="0" fontId="24" fillId="6" borderId="2" xfId="0" applyFont="1" applyFill="1" applyBorder="1" applyAlignment="1" applyProtection="1">
      <alignment horizontal="center" vertical="center"/>
      <protection hidden="1"/>
    </xf>
    <xf numFmtId="38" fontId="5" fillId="6" borderId="2" xfId="2" applyFont="1" applyFill="1" applyBorder="1" applyAlignment="1" applyProtection="1">
      <alignment horizontal="center" vertical="center"/>
      <protection hidden="1"/>
    </xf>
    <xf numFmtId="38" fontId="5" fillId="6" borderId="3" xfId="2" applyFont="1" applyFill="1" applyBorder="1" applyAlignment="1" applyProtection="1">
      <alignment horizontal="center" vertical="center"/>
      <protection hidden="1"/>
    </xf>
    <xf numFmtId="0" fontId="54" fillId="0" borderId="0" xfId="0" applyFont="1" applyProtection="1">
      <alignment vertical="center"/>
      <protection locked="0"/>
    </xf>
    <xf numFmtId="0" fontId="133" fillId="0" borderId="0" xfId="0" applyFont="1" applyProtection="1">
      <alignment vertical="center"/>
      <protection locked="0"/>
    </xf>
    <xf numFmtId="0" fontId="24" fillId="0" borderId="0" xfId="0" applyFont="1" applyAlignment="1" applyProtection="1">
      <alignment horizontal="left" vertical="center"/>
      <protection hidden="1"/>
    </xf>
    <xf numFmtId="0" fontId="39" fillId="0" borderId="0" xfId="0" applyFont="1" applyProtection="1">
      <alignment vertical="center"/>
      <protection hidden="1"/>
    </xf>
    <xf numFmtId="0" fontId="19" fillId="0" borderId="0" xfId="0" applyFont="1" applyProtection="1">
      <alignment vertical="center"/>
      <protection locked="0"/>
    </xf>
    <xf numFmtId="0" fontId="22" fillId="0" borderId="0" xfId="0" applyFont="1" applyProtection="1">
      <alignment vertical="center"/>
      <protection locked="0"/>
    </xf>
    <xf numFmtId="10" fontId="37" fillId="0" borderId="0" xfId="0" applyNumberFormat="1" applyFont="1" applyAlignment="1" applyProtection="1">
      <alignment horizontal="center" vertical="center"/>
      <protection locked="0"/>
    </xf>
    <xf numFmtId="0" fontId="28" fillId="0" borderId="0" xfId="0" applyFont="1" applyProtection="1">
      <alignment vertical="center"/>
      <protection locked="0"/>
    </xf>
    <xf numFmtId="181" fontId="19" fillId="0" borderId="0" xfId="0" applyNumberFormat="1" applyFont="1" applyAlignment="1" applyProtection="1">
      <alignment horizontal="center" vertical="center"/>
      <protection locked="0"/>
    </xf>
    <xf numFmtId="0" fontId="24" fillId="7" borderId="27" xfId="0" applyFont="1" applyFill="1" applyBorder="1" applyProtection="1">
      <alignment vertical="center"/>
      <protection hidden="1"/>
    </xf>
    <xf numFmtId="0" fontId="24" fillId="7" borderId="52" xfId="0" applyFont="1" applyFill="1" applyBorder="1" applyProtection="1">
      <alignment vertical="center"/>
      <protection hidden="1"/>
    </xf>
    <xf numFmtId="0" fontId="24" fillId="7" borderId="61" xfId="0" applyFont="1" applyFill="1" applyBorder="1" applyProtection="1">
      <alignment vertical="center"/>
      <protection hidden="1"/>
    </xf>
    <xf numFmtId="0" fontId="12" fillId="0" borderId="6" xfId="0" applyFont="1" applyBorder="1">
      <alignment vertical="center"/>
    </xf>
    <xf numFmtId="38" fontId="0" fillId="0" borderId="0" xfId="2" applyFont="1" applyFill="1">
      <alignment vertical="center"/>
    </xf>
    <xf numFmtId="0" fontId="1" fillId="0" borderId="14" xfId="0" applyFont="1" applyBorder="1" applyAlignment="1">
      <alignment horizontal="center" vertical="center"/>
    </xf>
    <xf numFmtId="38" fontId="0" fillId="0" borderId="0" xfId="2" applyFont="1" applyFill="1" applyAlignment="1">
      <alignment vertical="center"/>
    </xf>
    <xf numFmtId="0" fontId="1" fillId="0" borderId="1" xfId="0" applyFont="1" applyBorder="1" applyAlignment="1">
      <alignment horizontal="left"/>
    </xf>
    <xf numFmtId="0" fontId="1" fillId="0" borderId="2" xfId="0" applyFont="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38" fontId="14" fillId="0" borderId="0" xfId="2" applyFont="1" applyFill="1">
      <alignment vertical="center"/>
    </xf>
    <xf numFmtId="0" fontId="1" fillId="0" borderId="53"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18" xfId="0" applyFont="1" applyBorder="1" applyAlignment="1">
      <alignment horizontal="center"/>
    </xf>
    <xf numFmtId="38" fontId="0" fillId="0" borderId="15" xfId="2" applyFont="1" applyFill="1" applyBorder="1" applyAlignment="1">
      <alignment horizontal="center" vertical="center"/>
    </xf>
    <xf numFmtId="0" fontId="0" fillId="0" borderId="35" xfId="0" applyBorder="1">
      <alignment vertical="center"/>
    </xf>
    <xf numFmtId="178" fontId="0" fillId="0" borderId="5" xfId="0" applyNumberFormat="1" applyBorder="1">
      <alignment vertical="center"/>
    </xf>
    <xf numFmtId="178" fontId="0" fillId="0" borderId="3" xfId="0" applyNumberFormat="1" applyBorder="1">
      <alignment vertical="center"/>
    </xf>
    <xf numFmtId="0" fontId="6" fillId="0" borderId="4" xfId="0" applyFont="1" applyBorder="1" applyAlignment="1">
      <alignment horizontal="center" vertical="center"/>
    </xf>
    <xf numFmtId="178" fontId="0" fillId="0" borderId="4" xfId="0" applyNumberFormat="1" applyBorder="1">
      <alignment vertical="center"/>
    </xf>
    <xf numFmtId="0" fontId="6" fillId="0" borderId="5" xfId="0" applyFont="1" applyBorder="1" applyAlignment="1">
      <alignment horizontal="center" vertical="center"/>
    </xf>
    <xf numFmtId="38" fontId="0" fillId="0" borderId="2" xfId="2" applyFont="1" applyFill="1" applyBorder="1" applyAlignment="1">
      <alignment vertical="center"/>
    </xf>
    <xf numFmtId="38" fontId="0" fillId="0" borderId="18" xfId="2" applyFont="1" applyFill="1" applyBorder="1" applyAlignment="1">
      <alignment vertical="center"/>
    </xf>
    <xf numFmtId="0" fontId="0" fillId="0" borderId="54" xfId="0" applyBorder="1">
      <alignment vertical="center"/>
    </xf>
    <xf numFmtId="38" fontId="0" fillId="0" borderId="9" xfId="2" applyFont="1" applyFill="1" applyBorder="1" applyAlignment="1">
      <alignment vertical="center"/>
    </xf>
    <xf numFmtId="38" fontId="0" fillId="0" borderId="11" xfId="2" applyFont="1" applyFill="1" applyBorder="1" applyAlignment="1">
      <alignment vertical="center"/>
    </xf>
    <xf numFmtId="38" fontId="0" fillId="0" borderId="12" xfId="2" applyFont="1" applyFill="1" applyBorder="1" applyAlignment="1">
      <alignment vertical="center"/>
    </xf>
    <xf numFmtId="38" fontId="0" fillId="0" borderId="26" xfId="2" applyFont="1" applyFill="1" applyBorder="1" applyAlignment="1">
      <alignment vertical="center"/>
    </xf>
    <xf numFmtId="38" fontId="0" fillId="0" borderId="0" xfId="2" applyFont="1" applyFill="1" applyBorder="1" applyAlignment="1">
      <alignment vertical="center"/>
    </xf>
    <xf numFmtId="178" fontId="0" fillId="0" borderId="30" xfId="0" applyNumberFormat="1" applyBorder="1">
      <alignment vertical="center"/>
    </xf>
    <xf numFmtId="0" fontId="0" fillId="0" borderId="39" xfId="0" applyBorder="1">
      <alignment vertical="center"/>
    </xf>
    <xf numFmtId="38" fontId="0" fillId="0" borderId="4" xfId="2" applyFont="1" applyFill="1" applyBorder="1">
      <alignment vertical="center"/>
    </xf>
    <xf numFmtId="0" fontId="0" fillId="0" borderId="30" xfId="0" applyBorder="1">
      <alignment vertical="center"/>
    </xf>
    <xf numFmtId="3" fontId="0" fillId="0" borderId="3" xfId="0" applyNumberFormat="1" applyBorder="1">
      <alignment vertical="center"/>
    </xf>
    <xf numFmtId="0" fontId="0" fillId="0" borderId="4" xfId="0" applyBorder="1">
      <alignment vertical="center"/>
    </xf>
    <xf numFmtId="38" fontId="0" fillId="0" borderId="4" xfId="2" applyFont="1" applyFill="1" applyBorder="1" applyAlignment="1">
      <alignment horizontal="right" vertical="center"/>
    </xf>
    <xf numFmtId="179" fontId="0" fillId="0" borderId="0" xfId="0" applyNumberFormat="1">
      <alignment vertical="center"/>
    </xf>
    <xf numFmtId="0" fontId="0" fillId="0" borderId="36" xfId="0" applyBorder="1">
      <alignment vertical="center"/>
    </xf>
    <xf numFmtId="38" fontId="0" fillId="0" borderId="6" xfId="2" applyFont="1" applyFill="1" applyBorder="1">
      <alignment vertical="center"/>
    </xf>
    <xf numFmtId="179" fontId="6" fillId="0" borderId="0" xfId="0" applyNumberFormat="1" applyFont="1">
      <alignment vertical="center"/>
    </xf>
    <xf numFmtId="179" fontId="0" fillId="0" borderId="0" xfId="0" applyNumberFormat="1" applyAlignment="1">
      <alignment horizontal="right"/>
    </xf>
    <xf numFmtId="0" fontId="85" fillId="0" borderId="0" xfId="0" applyFont="1" applyAlignment="1">
      <alignment horizontal="center" vertical="center"/>
    </xf>
    <xf numFmtId="0" fontId="0" fillId="15" borderId="0" xfId="0" applyFill="1">
      <alignment vertical="center"/>
    </xf>
    <xf numFmtId="0" fontId="89" fillId="0" borderId="0" xfId="0" applyFont="1">
      <alignment vertical="center"/>
    </xf>
    <xf numFmtId="0" fontId="82" fillId="0" borderId="0" xfId="0" applyFont="1" applyAlignment="1">
      <alignment horizontal="left" vertical="center"/>
    </xf>
    <xf numFmtId="0" fontId="87" fillId="0" borderId="0" xfId="0" applyFont="1">
      <alignment vertical="center"/>
    </xf>
    <xf numFmtId="0" fontId="84" fillId="0" borderId="0" xfId="0" applyFont="1" applyAlignment="1">
      <alignment horizontal="left" vertical="center"/>
    </xf>
    <xf numFmtId="0" fontId="48" fillId="0" borderId="0" xfId="0" applyFont="1">
      <alignment vertical="center"/>
    </xf>
    <xf numFmtId="0" fontId="90" fillId="0" borderId="0" xfId="0" applyFont="1" applyAlignment="1">
      <alignment horizontal="left" vertical="center"/>
    </xf>
    <xf numFmtId="0" fontId="85" fillId="15" borderId="0" xfId="0" applyFont="1" applyFill="1" applyAlignment="1">
      <alignment horizontal="center" vertical="center"/>
    </xf>
    <xf numFmtId="0" fontId="49" fillId="15" borderId="0" xfId="0" applyFont="1" applyFill="1">
      <alignment vertical="center"/>
    </xf>
    <xf numFmtId="0" fontId="40" fillId="15" borderId="0" xfId="0" applyFont="1" applyFill="1">
      <alignment vertical="center"/>
    </xf>
    <xf numFmtId="0" fontId="82" fillId="9" borderId="0" xfId="0" applyFont="1" applyFill="1" applyAlignment="1">
      <alignment horizontal="left" vertical="center"/>
    </xf>
    <xf numFmtId="0" fontId="0" fillId="9" borderId="0" xfId="0" applyFill="1">
      <alignment vertical="center"/>
    </xf>
    <xf numFmtId="0" fontId="93" fillId="0" borderId="0" xfId="0" applyFont="1" applyAlignment="1">
      <alignment horizontal="center" vertical="center"/>
    </xf>
    <xf numFmtId="0" fontId="91" fillId="24" borderId="0" xfId="0" applyFont="1" applyFill="1">
      <alignment vertical="center"/>
    </xf>
    <xf numFmtId="0" fontId="92" fillId="24" borderId="0" xfId="0" applyFont="1" applyFill="1">
      <alignment vertical="center"/>
    </xf>
    <xf numFmtId="0" fontId="0" fillId="24" borderId="0" xfId="0" applyFill="1">
      <alignment vertical="center"/>
    </xf>
    <xf numFmtId="0" fontId="42" fillId="0" borderId="0" xfId="0" applyFont="1">
      <alignment vertical="center"/>
    </xf>
    <xf numFmtId="0" fontId="91" fillId="0" borderId="0" xfId="0" applyFont="1">
      <alignment vertical="center"/>
    </xf>
    <xf numFmtId="0" fontId="20" fillId="9" borderId="0" xfId="0" applyFont="1" applyFill="1">
      <alignment vertical="center"/>
    </xf>
    <xf numFmtId="0" fontId="20" fillId="0" borderId="0" xfId="0" applyFont="1">
      <alignment vertical="center"/>
    </xf>
    <xf numFmtId="0" fontId="19" fillId="0" borderId="0" xfId="0" applyFont="1">
      <alignment vertical="center"/>
    </xf>
    <xf numFmtId="0" fontId="92" fillId="0" borderId="0" xfId="0" applyFont="1">
      <alignment vertical="center"/>
    </xf>
    <xf numFmtId="38" fontId="80" fillId="0" borderId="0" xfId="2" applyFont="1" applyBorder="1" applyAlignment="1" applyProtection="1">
      <alignment horizontal="left" vertical="center"/>
    </xf>
    <xf numFmtId="0" fontId="95" fillId="0" borderId="0" xfId="0" applyFont="1">
      <alignment vertical="center"/>
    </xf>
    <xf numFmtId="0" fontId="36" fillId="0" borderId="0" xfId="0" applyFont="1" applyAlignment="1">
      <alignment horizontal="left" vertical="center"/>
    </xf>
    <xf numFmtId="0" fontId="41" fillId="0" borderId="0" xfId="0" applyFont="1">
      <alignment vertical="center"/>
    </xf>
    <xf numFmtId="0" fontId="0" fillId="0" borderId="0" xfId="0" applyAlignment="1">
      <alignment horizontal="left" vertical="center"/>
    </xf>
    <xf numFmtId="0" fontId="54" fillId="0" borderId="0" xfId="0" applyFont="1">
      <alignment vertical="center"/>
    </xf>
    <xf numFmtId="0" fontId="51" fillId="0" borderId="0" xfId="0" applyFont="1" applyAlignment="1">
      <alignment horizontal="center" vertical="center"/>
    </xf>
    <xf numFmtId="0" fontId="22" fillId="0" borderId="0" xfId="0" applyFont="1">
      <alignment vertical="center"/>
    </xf>
    <xf numFmtId="38" fontId="0" fillId="0" borderId="0" xfId="0" applyNumberFormat="1">
      <alignment vertical="center"/>
    </xf>
    <xf numFmtId="0" fontId="50" fillId="0" borderId="0" xfId="3" applyFont="1" applyFill="1" applyProtection="1">
      <alignment vertical="center"/>
    </xf>
    <xf numFmtId="10" fontId="37" fillId="0" borderId="0" xfId="0" applyNumberFormat="1" applyFont="1" applyAlignment="1">
      <alignment horizontal="center" vertical="center"/>
    </xf>
    <xf numFmtId="0" fontId="28" fillId="0" borderId="0" xfId="0" applyFont="1">
      <alignment vertical="center"/>
    </xf>
    <xf numFmtId="184" fontId="42" fillId="0" borderId="0" xfId="0" applyNumberFormat="1" applyFont="1">
      <alignment vertical="center"/>
    </xf>
    <xf numFmtId="184" fontId="42" fillId="0" borderId="0" xfId="0" applyNumberFormat="1" applyFont="1" applyAlignment="1">
      <alignment horizontal="right" vertical="center"/>
    </xf>
    <xf numFmtId="10" fontId="42" fillId="0" borderId="0" xfId="0" applyNumberFormat="1" applyFont="1" applyAlignment="1">
      <alignment horizontal="center" vertical="center"/>
    </xf>
    <xf numFmtId="181" fontId="19" fillId="0" borderId="0" xfId="0" applyNumberFormat="1" applyFont="1" applyAlignment="1">
      <alignment horizontal="center" vertical="center"/>
    </xf>
    <xf numFmtId="181" fontId="0" fillId="0" borderId="0" xfId="0" applyNumberFormat="1" applyAlignment="1">
      <alignment horizontal="center" vertical="center"/>
    </xf>
    <xf numFmtId="0" fontId="81" fillId="0" borderId="0" xfId="0" applyFont="1">
      <alignment vertical="center"/>
    </xf>
    <xf numFmtId="0" fontId="86" fillId="0" borderId="0" xfId="0" applyFont="1" applyAlignment="1">
      <alignment horizontal="center" vertical="center"/>
    </xf>
    <xf numFmtId="0" fontId="19" fillId="9" borderId="0" xfId="0" applyFont="1" applyFill="1">
      <alignment vertical="center"/>
    </xf>
    <xf numFmtId="0" fontId="91" fillId="31" borderId="0" xfId="0" applyFont="1" applyFill="1">
      <alignment vertical="center"/>
    </xf>
    <xf numFmtId="0" fontId="0" fillId="31" borderId="0" xfId="0" applyFill="1">
      <alignment vertical="center"/>
    </xf>
    <xf numFmtId="0" fontId="94" fillId="0" borderId="0" xfId="0" applyFont="1">
      <alignment vertical="center"/>
    </xf>
    <xf numFmtId="0" fontId="20" fillId="30" borderId="0" xfId="0" applyFont="1" applyFill="1">
      <alignment vertical="center"/>
    </xf>
    <xf numFmtId="0" fontId="19" fillId="30" borderId="0" xfId="0" applyFont="1" applyFill="1">
      <alignment vertical="center"/>
    </xf>
    <xf numFmtId="0" fontId="20" fillId="32" borderId="0" xfId="0" applyFont="1" applyFill="1">
      <alignment vertical="center"/>
    </xf>
    <xf numFmtId="0" fontId="19" fillId="32" borderId="0" xfId="0" applyFont="1" applyFill="1">
      <alignment vertical="center"/>
    </xf>
    <xf numFmtId="0" fontId="20" fillId="33" borderId="0" xfId="0" applyFont="1" applyFill="1">
      <alignment vertical="center"/>
    </xf>
    <xf numFmtId="0" fontId="19" fillId="33" borderId="0" xfId="0" applyFont="1" applyFill="1">
      <alignment vertical="center"/>
    </xf>
    <xf numFmtId="0" fontId="91" fillId="11" borderId="0" xfId="0" applyFont="1" applyFill="1">
      <alignment vertical="center"/>
    </xf>
    <xf numFmtId="0" fontId="92" fillId="11" borderId="0" xfId="0" applyFont="1" applyFill="1">
      <alignment vertical="center"/>
    </xf>
    <xf numFmtId="0" fontId="20" fillId="12" borderId="0" xfId="0" applyFont="1" applyFill="1">
      <alignment vertical="center"/>
    </xf>
    <xf numFmtId="0" fontId="0" fillId="12" borderId="0" xfId="0" applyFill="1">
      <alignment vertical="center"/>
    </xf>
    <xf numFmtId="187" fontId="26" fillId="0" borderId="0" xfId="0" applyNumberFormat="1" applyFont="1" applyAlignment="1" applyProtection="1">
      <alignment horizontal="center" vertical="center"/>
      <protection hidden="1"/>
    </xf>
    <xf numFmtId="0" fontId="28" fillId="0" borderId="2" xfId="0" applyFont="1" applyBorder="1" applyAlignment="1" applyProtection="1">
      <alignment horizontal="center" vertical="center"/>
      <protection hidden="1"/>
    </xf>
    <xf numFmtId="9" fontId="28" fillId="0" borderId="0" xfId="1" applyFont="1" applyBorder="1" applyAlignment="1" applyProtection="1">
      <alignment horizontal="center" vertical="center"/>
      <protection hidden="1"/>
    </xf>
    <xf numFmtId="0" fontId="28" fillId="15" borderId="2" xfId="0" applyFont="1" applyFill="1" applyBorder="1" applyAlignment="1" applyProtection="1">
      <alignment horizontal="center" vertical="center"/>
      <protection hidden="1"/>
    </xf>
    <xf numFmtId="0" fontId="28" fillId="13" borderId="2" xfId="0" applyFont="1" applyFill="1" applyBorder="1" applyAlignment="1" applyProtection="1">
      <alignment horizontal="center" vertical="center"/>
      <protection hidden="1"/>
    </xf>
    <xf numFmtId="0" fontId="107" fillId="0" borderId="0" xfId="0" applyFont="1" applyProtection="1">
      <alignment vertical="center"/>
      <protection hidden="1"/>
    </xf>
    <xf numFmtId="38" fontId="5" fillId="0" borderId="9" xfId="2" applyFont="1" applyBorder="1" applyAlignment="1" applyProtection="1">
      <alignment horizontal="center" vertical="center"/>
      <protection hidden="1"/>
    </xf>
    <xf numFmtId="0" fontId="28" fillId="8" borderId="9" xfId="0" applyFont="1" applyFill="1" applyBorder="1" applyAlignment="1" applyProtection="1">
      <alignment horizontal="center" vertical="center"/>
      <protection hidden="1"/>
    </xf>
    <xf numFmtId="0" fontId="23" fillId="0" borderId="0" xfId="0" applyFont="1" applyAlignment="1" applyProtection="1">
      <alignment horizontal="center" vertical="center"/>
      <protection hidden="1"/>
    </xf>
    <xf numFmtId="0" fontId="23" fillId="0" borderId="0" xfId="0" applyFont="1" applyAlignment="1" applyProtection="1">
      <alignment horizontal="right" vertical="center"/>
      <protection hidden="1"/>
    </xf>
    <xf numFmtId="187" fontId="121" fillId="6" borderId="2" xfId="0" applyNumberFormat="1" applyFont="1" applyFill="1" applyBorder="1" applyAlignment="1" applyProtection="1">
      <alignment horizontal="center" vertical="center"/>
      <protection hidden="1"/>
    </xf>
    <xf numFmtId="187" fontId="121" fillId="0" borderId="0" xfId="0" applyNumberFormat="1" applyFont="1" applyAlignment="1" applyProtection="1">
      <alignment horizontal="center" vertical="center"/>
      <protection hidden="1"/>
    </xf>
    <xf numFmtId="0" fontId="129" fillId="0" borderId="0" xfId="0" applyFont="1" applyAlignment="1" applyProtection="1">
      <alignment horizontal="left"/>
      <protection hidden="1"/>
    </xf>
    <xf numFmtId="0" fontId="129" fillId="0" borderId="0" xfId="0" applyFont="1" applyProtection="1">
      <alignment vertical="center"/>
      <protection hidden="1"/>
    </xf>
    <xf numFmtId="0" fontId="128" fillId="0" borderId="0" xfId="0" applyFont="1" applyAlignment="1" applyProtection="1">
      <alignment horizontal="center" vertical="center"/>
      <protection hidden="1"/>
    </xf>
    <xf numFmtId="0" fontId="128" fillId="0" borderId="2" xfId="0" applyFont="1" applyBorder="1" applyAlignment="1" applyProtection="1">
      <alignment horizontal="center" vertical="center"/>
      <protection hidden="1"/>
    </xf>
    <xf numFmtId="9" fontId="128" fillId="0" borderId="0" xfId="1" applyFont="1" applyBorder="1" applyAlignment="1" applyProtection="1">
      <alignment horizontal="center" vertical="center"/>
      <protection hidden="1"/>
    </xf>
    <xf numFmtId="0" fontId="128" fillId="15" borderId="2" xfId="0" applyFont="1" applyFill="1" applyBorder="1" applyAlignment="1" applyProtection="1">
      <alignment horizontal="center" vertical="center"/>
      <protection hidden="1"/>
    </xf>
    <xf numFmtId="0" fontId="128" fillId="13" borderId="2" xfId="0" applyFont="1" applyFill="1" applyBorder="1" applyAlignment="1" applyProtection="1">
      <alignment horizontal="center" vertical="center"/>
      <protection hidden="1"/>
    </xf>
    <xf numFmtId="0" fontId="130" fillId="0" borderId="0" xfId="0" applyFont="1" applyProtection="1">
      <alignment vertical="center"/>
      <protection hidden="1"/>
    </xf>
    <xf numFmtId="0" fontId="128" fillId="8" borderId="2" xfId="0" applyFont="1" applyFill="1" applyBorder="1" applyAlignment="1" applyProtection="1">
      <alignment horizontal="center" vertical="center"/>
      <protection hidden="1"/>
    </xf>
    <xf numFmtId="0" fontId="0" fillId="0" borderId="0" xfId="0" applyAlignment="1">
      <alignment horizontal="right" vertical="center"/>
    </xf>
    <xf numFmtId="0" fontId="4" fillId="0" borderId="0" xfId="0" applyFont="1">
      <alignment vertical="center"/>
    </xf>
    <xf numFmtId="40" fontId="24" fillId="10" borderId="3" xfId="2" applyNumberFormat="1" applyFont="1" applyFill="1" applyBorder="1" applyAlignment="1" applyProtection="1">
      <alignment horizontal="center" vertical="center"/>
    </xf>
    <xf numFmtId="0" fontId="24" fillId="10" borderId="2" xfId="0" applyFont="1" applyFill="1" applyBorder="1" applyAlignment="1">
      <alignment horizontal="center" vertical="center"/>
    </xf>
    <xf numFmtId="0" fontId="24" fillId="6" borderId="3" xfId="0" applyFont="1" applyFill="1" applyBorder="1" applyAlignment="1">
      <alignment horizontal="center" vertical="center"/>
    </xf>
    <xf numFmtId="0" fontId="24" fillId="6" borderId="5" xfId="0" applyFont="1" applyFill="1" applyBorder="1" applyAlignment="1">
      <alignment horizontal="center" vertical="center"/>
    </xf>
    <xf numFmtId="38" fontId="5" fillId="0" borderId="1" xfId="2" applyFont="1" applyBorder="1" applyAlignment="1" applyProtection="1">
      <alignment vertical="center" shrinkToFit="1"/>
    </xf>
    <xf numFmtId="40" fontId="5" fillId="0" borderId="18" xfId="2" applyNumberFormat="1" applyFont="1" applyBorder="1" applyAlignment="1" applyProtection="1">
      <alignment vertical="center" shrinkToFit="1"/>
    </xf>
    <xf numFmtId="38" fontId="5" fillId="0" borderId="18" xfId="2" applyFont="1" applyBorder="1" applyAlignment="1" applyProtection="1">
      <alignment vertical="center" shrinkToFit="1"/>
    </xf>
    <xf numFmtId="38" fontId="24" fillId="0" borderId="3" xfId="2" applyFont="1" applyBorder="1" applyProtection="1">
      <alignment vertical="center"/>
    </xf>
    <xf numFmtId="0" fontId="24" fillId="0" borderId="5" xfId="0" applyFont="1" applyBorder="1">
      <alignment vertical="center"/>
    </xf>
    <xf numFmtId="0" fontId="24" fillId="0" borderId="3" xfId="0" applyFont="1" applyBorder="1" applyAlignment="1">
      <alignment horizontal="center" vertical="center"/>
    </xf>
    <xf numFmtId="38" fontId="24" fillId="0" borderId="5" xfId="2" applyFont="1" applyBorder="1" applyProtection="1">
      <alignment vertical="center"/>
    </xf>
    <xf numFmtId="40" fontId="24" fillId="0" borderId="3" xfId="2" applyNumberFormat="1" applyFont="1" applyBorder="1" applyAlignment="1" applyProtection="1">
      <alignment horizontal="center" vertical="center"/>
    </xf>
    <xf numFmtId="38" fontId="5" fillId="0" borderId="2" xfId="2" applyFont="1" applyBorder="1" applyProtection="1">
      <alignment vertical="center"/>
    </xf>
    <xf numFmtId="0" fontId="0" fillId="0" borderId="1" xfId="0" applyBorder="1">
      <alignment vertical="center"/>
    </xf>
    <xf numFmtId="38" fontId="24" fillId="0" borderId="18" xfId="2" applyFont="1" applyBorder="1" applyProtection="1">
      <alignment vertical="center"/>
    </xf>
    <xf numFmtId="40" fontId="24" fillId="0" borderId="5" xfId="2" applyNumberFormat="1" applyFont="1" applyBorder="1" applyProtection="1">
      <alignment vertical="center"/>
    </xf>
    <xf numFmtId="38" fontId="24" fillId="0" borderId="1" xfId="2" applyFont="1" applyBorder="1" applyProtection="1">
      <alignment vertical="center"/>
    </xf>
    <xf numFmtId="40" fontId="24" fillId="0" borderId="5" xfId="2" applyNumberFormat="1" applyFont="1" applyBorder="1" applyAlignment="1" applyProtection="1">
      <alignment horizontal="right" vertical="center"/>
    </xf>
    <xf numFmtId="0" fontId="24" fillId="0" borderId="3" xfId="0" applyFont="1" applyBorder="1">
      <alignment vertical="center"/>
    </xf>
    <xf numFmtId="40" fontId="24" fillId="0" borderId="3" xfId="2" applyNumberFormat="1" applyFont="1" applyBorder="1" applyAlignment="1" applyProtection="1">
      <alignment horizontal="right" vertical="center"/>
    </xf>
    <xf numFmtId="38" fontId="29" fillId="0" borderId="0" xfId="2" applyFont="1" applyAlignment="1" applyProtection="1">
      <alignment horizontal="left" vertical="center"/>
    </xf>
    <xf numFmtId="38" fontId="24" fillId="0" borderId="6" xfId="2" applyFont="1" applyBorder="1" applyProtection="1">
      <alignment vertical="center"/>
    </xf>
    <xf numFmtId="38" fontId="24" fillId="0" borderId="19" xfId="2" applyFont="1" applyBorder="1" applyProtection="1">
      <alignment vertical="center"/>
    </xf>
    <xf numFmtId="38" fontId="29" fillId="0" borderId="0" xfId="2" applyFont="1" applyFill="1" applyAlignment="1" applyProtection="1">
      <alignment horizontal="right" vertical="center"/>
    </xf>
    <xf numFmtId="0" fontId="19" fillId="0" borderId="0" xfId="0" quotePrefix="1" applyFont="1" applyAlignment="1">
      <alignment horizontal="left" vertical="center"/>
    </xf>
    <xf numFmtId="38" fontId="5" fillId="0" borderId="6" xfId="2" applyFont="1" applyBorder="1" applyAlignment="1" applyProtection="1">
      <alignment vertical="center"/>
    </xf>
    <xf numFmtId="0" fontId="5" fillId="0" borderId="19" xfId="0" applyFont="1" applyBorder="1">
      <alignment vertical="center"/>
    </xf>
    <xf numFmtId="38" fontId="5" fillId="0" borderId="19" xfId="2" applyFont="1" applyBorder="1" applyAlignment="1" applyProtection="1">
      <alignment vertical="center"/>
    </xf>
    <xf numFmtId="38" fontId="0" fillId="0" borderId="0" xfId="2" applyFont="1" applyProtection="1">
      <alignment vertical="center"/>
    </xf>
    <xf numFmtId="0" fontId="5" fillId="10" borderId="2" xfId="0" applyFont="1" applyFill="1" applyBorder="1" applyAlignment="1">
      <alignment horizontal="center" vertical="center"/>
    </xf>
    <xf numFmtId="38" fontId="42" fillId="0" borderId="2" xfId="2" applyFont="1" applyFill="1" applyBorder="1" applyAlignment="1" applyProtection="1">
      <alignment horizontal="center" vertical="center"/>
    </xf>
    <xf numFmtId="0" fontId="24" fillId="10" borderId="66" xfId="0" applyFont="1" applyFill="1" applyBorder="1" applyAlignment="1">
      <alignment horizontal="center" vertical="center"/>
    </xf>
    <xf numFmtId="0" fontId="27" fillId="0" borderId="0" xfId="0" applyFont="1">
      <alignment vertical="center"/>
    </xf>
    <xf numFmtId="0" fontId="24" fillId="6" borderId="20" xfId="0" applyFont="1" applyFill="1" applyBorder="1">
      <alignment vertical="center"/>
    </xf>
    <xf numFmtId="0" fontId="71" fillId="6" borderId="14" xfId="0" applyFont="1" applyFill="1" applyBorder="1">
      <alignment vertical="center"/>
    </xf>
    <xf numFmtId="0" fontId="24" fillId="6" borderId="21" xfId="0" applyFont="1" applyFill="1" applyBorder="1">
      <alignment vertical="center"/>
    </xf>
    <xf numFmtId="0" fontId="24" fillId="6" borderId="22" xfId="0" applyFont="1" applyFill="1" applyBorder="1">
      <alignment vertical="center"/>
    </xf>
    <xf numFmtId="0" fontId="17" fillId="6" borderId="0" xfId="0" applyFont="1" applyFill="1">
      <alignment vertical="center"/>
    </xf>
    <xf numFmtId="0" fontId="71" fillId="6" borderId="0" xfId="0" applyFont="1" applyFill="1">
      <alignment vertical="center"/>
    </xf>
    <xf numFmtId="0" fontId="24" fillId="6" borderId="23" xfId="0" applyFont="1" applyFill="1" applyBorder="1">
      <alignment vertical="center"/>
    </xf>
    <xf numFmtId="0" fontId="24" fillId="6" borderId="24" xfId="0" applyFont="1" applyFill="1" applyBorder="1">
      <alignment vertical="center"/>
    </xf>
    <xf numFmtId="0" fontId="71" fillId="6" borderId="25" xfId="0" applyFont="1" applyFill="1" applyBorder="1">
      <alignment vertical="center"/>
    </xf>
    <xf numFmtId="0" fontId="24" fillId="6" borderId="26" xfId="0" applyFont="1" applyFill="1" applyBorder="1">
      <alignment vertical="center"/>
    </xf>
    <xf numFmtId="0" fontId="7" fillId="0" borderId="0" xfId="0" applyFont="1">
      <alignment vertical="center"/>
    </xf>
    <xf numFmtId="0" fontId="7" fillId="0" borderId="0" xfId="0" quotePrefix="1" applyFont="1" applyAlignment="1">
      <alignment horizontal="left"/>
    </xf>
    <xf numFmtId="55" fontId="0" fillId="0" borderId="0" xfId="0" applyNumberFormat="1">
      <alignment vertical="center"/>
    </xf>
    <xf numFmtId="0" fontId="88" fillId="23" borderId="0" xfId="0" applyFont="1" applyFill="1" applyAlignment="1">
      <alignment horizontal="center" vertical="center"/>
    </xf>
    <xf numFmtId="0" fontId="32" fillId="8" borderId="37" xfId="0" applyFont="1" applyFill="1" applyBorder="1" applyAlignment="1" applyProtection="1">
      <alignment horizontal="center" vertical="center" wrapText="1"/>
      <protection locked="0"/>
    </xf>
    <xf numFmtId="0" fontId="32" fillId="8" borderId="33" xfId="0" applyFont="1" applyFill="1" applyBorder="1" applyAlignment="1" applyProtection="1">
      <alignment horizontal="center" vertical="center" wrapText="1"/>
      <protection locked="0"/>
    </xf>
    <xf numFmtId="0" fontId="32" fillId="7" borderId="10" xfId="0" applyFont="1" applyFill="1" applyBorder="1" applyAlignment="1" applyProtection="1">
      <alignment horizontal="center" vertical="center" wrapText="1"/>
      <protection locked="0"/>
    </xf>
    <xf numFmtId="0" fontId="32" fillId="7" borderId="46" xfId="0" applyFont="1" applyFill="1" applyBorder="1" applyAlignment="1" applyProtection="1">
      <alignment horizontal="center" vertical="center" wrapText="1"/>
      <protection locked="0"/>
    </xf>
    <xf numFmtId="0" fontId="32" fillId="7" borderId="37" xfId="0" applyFont="1" applyFill="1" applyBorder="1" applyAlignment="1" applyProtection="1">
      <alignment horizontal="center" vertical="center" wrapText="1"/>
      <protection locked="0"/>
    </xf>
    <xf numFmtId="0" fontId="32" fillId="7" borderId="9" xfId="0" applyFont="1" applyFill="1" applyBorder="1" applyAlignment="1" applyProtection="1">
      <alignment horizontal="center" vertical="center" wrapText="1"/>
      <protection locked="0"/>
    </xf>
    <xf numFmtId="0" fontId="32" fillId="7" borderId="12" xfId="0" applyFont="1" applyFill="1" applyBorder="1" applyAlignment="1" applyProtection="1">
      <alignment horizontal="center" vertical="center" wrapText="1"/>
      <protection locked="0"/>
    </xf>
    <xf numFmtId="0" fontId="32" fillId="8" borderId="2" xfId="0" applyFont="1" applyFill="1" applyBorder="1" applyAlignment="1" applyProtection="1">
      <alignment horizontal="center" vertical="center" wrapText="1"/>
      <protection locked="0"/>
    </xf>
    <xf numFmtId="0" fontId="32" fillId="9" borderId="28" xfId="0" applyFont="1" applyFill="1" applyBorder="1" applyAlignment="1" applyProtection="1">
      <alignment horizontal="center" vertical="center" wrapText="1"/>
      <protection locked="0"/>
    </xf>
    <xf numFmtId="0" fontId="32" fillId="9" borderId="66" xfId="0" applyFont="1" applyFill="1" applyBorder="1" applyAlignment="1" applyProtection="1">
      <alignment horizontal="center" vertical="center" wrapText="1"/>
      <protection locked="0"/>
    </xf>
    <xf numFmtId="0" fontId="32" fillId="8" borderId="28" xfId="0" applyFont="1" applyFill="1" applyBorder="1" applyAlignment="1" applyProtection="1">
      <alignment horizontal="center" vertical="center" wrapText="1"/>
      <protection locked="0"/>
    </xf>
    <xf numFmtId="0" fontId="32" fillId="8" borderId="66" xfId="0" applyFont="1" applyFill="1" applyBorder="1" applyAlignment="1" applyProtection="1">
      <alignment horizontal="center" vertical="center" wrapText="1"/>
      <protection locked="0"/>
    </xf>
    <xf numFmtId="0" fontId="32" fillId="14" borderId="28" xfId="0" applyFont="1" applyFill="1" applyBorder="1" applyAlignment="1" applyProtection="1">
      <alignment horizontal="center" vertical="center" wrapText="1"/>
      <protection locked="0"/>
    </xf>
    <xf numFmtId="0" fontId="32" fillId="14" borderId="66" xfId="0" applyFont="1" applyFill="1" applyBorder="1" applyAlignment="1" applyProtection="1">
      <alignment horizontal="center" vertical="center" wrapText="1"/>
      <protection locked="0"/>
    </xf>
    <xf numFmtId="0" fontId="46" fillId="6" borderId="28" xfId="0" applyFont="1" applyFill="1" applyBorder="1" applyAlignment="1">
      <alignment horizontal="center" vertical="center"/>
    </xf>
    <xf numFmtId="0" fontId="46" fillId="6" borderId="66" xfId="0" applyFont="1" applyFill="1" applyBorder="1" applyAlignment="1">
      <alignment horizontal="center" vertical="center"/>
    </xf>
    <xf numFmtId="0" fontId="70" fillId="7" borderId="3" xfId="0" applyFont="1" applyFill="1" applyBorder="1" applyAlignment="1" applyProtection="1">
      <alignment horizontal="center" vertical="center" wrapText="1"/>
      <protection locked="0"/>
    </xf>
    <xf numFmtId="0" fontId="70" fillId="7" borderId="4" xfId="0" applyFont="1" applyFill="1" applyBorder="1" applyAlignment="1" applyProtection="1">
      <alignment horizontal="center" vertical="center" wrapText="1"/>
      <protection locked="0"/>
    </xf>
    <xf numFmtId="0" fontId="70" fillId="7" borderId="5" xfId="0" applyFont="1" applyFill="1" applyBorder="1" applyAlignment="1" applyProtection="1">
      <alignment horizontal="center" vertical="center" wrapText="1"/>
      <protection locked="0"/>
    </xf>
    <xf numFmtId="37" fontId="32" fillId="3" borderId="2" xfId="4" applyFont="1" applyFill="1" applyBorder="1" applyAlignment="1" applyProtection="1">
      <alignment horizontal="center" vertical="center"/>
      <protection locked="0"/>
    </xf>
    <xf numFmtId="183" fontId="34" fillId="0" borderId="3" xfId="4" applyNumberFormat="1" applyFont="1" applyBorder="1" applyAlignment="1" applyProtection="1">
      <alignment horizontal="center" vertical="center"/>
      <protection locked="0"/>
    </xf>
    <xf numFmtId="183" fontId="34" fillId="0" borderId="4" xfId="4" applyNumberFormat="1" applyFont="1" applyBorder="1" applyAlignment="1" applyProtection="1">
      <alignment horizontal="center" vertical="center"/>
      <protection locked="0"/>
    </xf>
    <xf numFmtId="183" fontId="34" fillId="0" borderId="5" xfId="4" applyNumberFormat="1" applyFont="1" applyBorder="1" applyAlignment="1" applyProtection="1">
      <alignment horizontal="center" vertical="center"/>
      <protection locked="0"/>
    </xf>
    <xf numFmtId="0" fontId="65" fillId="7" borderId="9" xfId="0" applyFont="1" applyFill="1" applyBorder="1" applyAlignment="1" applyProtection="1">
      <alignment horizontal="center" vertical="center"/>
      <protection locked="0"/>
    </xf>
    <xf numFmtId="0" fontId="65" fillId="7" borderId="12" xfId="0" applyFont="1" applyFill="1" applyBorder="1" applyAlignment="1" applyProtection="1">
      <alignment horizontal="center" vertical="center"/>
      <protection locked="0"/>
    </xf>
    <xf numFmtId="0" fontId="71" fillId="7" borderId="2" xfId="0" applyFont="1" applyFill="1" applyBorder="1" applyAlignment="1" applyProtection="1">
      <alignment horizontal="center" vertical="center" wrapText="1"/>
      <protection locked="0"/>
    </xf>
    <xf numFmtId="0" fontId="71" fillId="7" borderId="2" xfId="0" applyFont="1" applyFill="1" applyBorder="1" applyAlignment="1" applyProtection="1">
      <alignment horizontal="center" vertical="center"/>
      <protection locked="0"/>
    </xf>
    <xf numFmtId="0" fontId="32" fillId="7" borderId="2" xfId="0" applyFont="1" applyFill="1" applyBorder="1" applyAlignment="1" applyProtection="1">
      <alignment horizontal="center" vertical="center" wrapText="1"/>
      <protection locked="0"/>
    </xf>
    <xf numFmtId="0" fontId="32" fillId="7" borderId="2" xfId="0" applyFont="1" applyFill="1" applyBorder="1" applyAlignment="1" applyProtection="1">
      <alignment horizontal="center" vertical="center"/>
      <protection locked="0"/>
    </xf>
    <xf numFmtId="0" fontId="32" fillId="7" borderId="12" xfId="0" applyFont="1" applyFill="1" applyBorder="1" applyAlignment="1" applyProtection="1">
      <alignment horizontal="center" vertical="center"/>
      <protection locked="0"/>
    </xf>
    <xf numFmtId="0" fontId="32" fillId="8" borderId="5" xfId="0" applyFont="1" applyFill="1" applyBorder="1" applyAlignment="1" applyProtection="1">
      <alignment horizontal="center" vertical="center"/>
      <protection locked="0"/>
    </xf>
    <xf numFmtId="0" fontId="32" fillId="8" borderId="2" xfId="0" applyFont="1" applyFill="1" applyBorder="1" applyAlignment="1" applyProtection="1">
      <alignment horizontal="center" vertical="center"/>
      <protection locked="0"/>
    </xf>
    <xf numFmtId="31" fontId="52" fillId="0" borderId="0" xfId="0" applyNumberFormat="1" applyFont="1" applyAlignment="1" applyProtection="1">
      <alignment horizontal="left" vertical="center"/>
      <protection locked="0"/>
    </xf>
    <xf numFmtId="0" fontId="4" fillId="6" borderId="27" xfId="0" applyFont="1" applyFill="1" applyBorder="1" applyAlignment="1" applyProtection="1">
      <alignment horizontal="center" vertical="center"/>
      <protection locked="0"/>
    </xf>
    <xf numFmtId="0" fontId="4" fillId="6" borderId="52" xfId="0" applyFont="1" applyFill="1" applyBorder="1" applyAlignment="1" applyProtection="1">
      <alignment horizontal="center" vertical="center"/>
      <protection locked="0"/>
    </xf>
    <xf numFmtId="0" fontId="46" fillId="7" borderId="52" xfId="0" applyFont="1" applyFill="1" applyBorder="1" applyAlignment="1" applyProtection="1">
      <alignment horizontal="center" vertical="center"/>
      <protection locked="0"/>
    </xf>
    <xf numFmtId="0" fontId="46" fillId="7" borderId="61" xfId="0" applyFont="1" applyFill="1" applyBorder="1" applyAlignment="1" applyProtection="1">
      <alignment horizontal="center" vertical="center"/>
      <protection locked="0"/>
    </xf>
    <xf numFmtId="0" fontId="46" fillId="7" borderId="71" xfId="0" applyFont="1" applyFill="1" applyBorder="1" applyAlignment="1" applyProtection="1">
      <alignment horizontal="center" vertical="center"/>
      <protection locked="0"/>
    </xf>
    <xf numFmtId="0" fontId="4" fillId="7" borderId="27" xfId="0" applyFont="1" applyFill="1" applyBorder="1" applyAlignment="1" applyProtection="1">
      <alignment horizontal="center" vertical="center"/>
      <protection locked="0"/>
    </xf>
    <xf numFmtId="0" fontId="4" fillId="7" borderId="27" xfId="0" applyFont="1" applyFill="1" applyBorder="1" applyAlignment="1" applyProtection="1">
      <alignment horizontal="center" vertical="top" wrapText="1"/>
      <protection locked="0"/>
    </xf>
    <xf numFmtId="0" fontId="24" fillId="7" borderId="52" xfId="0" applyFont="1" applyFill="1" applyBorder="1" applyAlignment="1" applyProtection="1">
      <alignment horizontal="center" vertical="center"/>
      <protection locked="0"/>
    </xf>
    <xf numFmtId="0" fontId="24" fillId="7" borderId="71" xfId="0" applyFont="1" applyFill="1" applyBorder="1" applyAlignment="1" applyProtection="1">
      <alignment horizontal="center" vertical="center"/>
      <protection locked="0"/>
    </xf>
    <xf numFmtId="0" fontId="5" fillId="7" borderId="2" xfId="0" applyFont="1" applyFill="1" applyBorder="1" applyAlignment="1">
      <alignment horizontal="center" vertical="center" wrapText="1"/>
    </xf>
    <xf numFmtId="0" fontId="5" fillId="7" borderId="2" xfId="0" applyFont="1" applyFill="1" applyBorder="1" applyAlignment="1">
      <alignment horizontal="center" vertical="center"/>
    </xf>
    <xf numFmtId="0" fontId="28" fillId="0" borderId="76" xfId="0" applyFont="1" applyBorder="1" applyAlignment="1">
      <alignment horizontal="left" vertical="center" wrapText="1"/>
    </xf>
    <xf numFmtId="0" fontId="28" fillId="0" borderId="77" xfId="0" applyFont="1" applyBorder="1" applyAlignment="1">
      <alignment horizontal="left" vertical="center" wrapText="1"/>
    </xf>
    <xf numFmtId="0" fontId="28" fillId="0" borderId="78" xfId="0" applyFont="1" applyBorder="1" applyAlignment="1">
      <alignment horizontal="left" vertical="center" wrapText="1"/>
    </xf>
    <xf numFmtId="0" fontId="28" fillId="16" borderId="9" xfId="0" applyFont="1" applyFill="1" applyBorder="1" applyAlignment="1">
      <alignment horizontal="left" vertical="center" wrapText="1"/>
    </xf>
    <xf numFmtId="0" fontId="28" fillId="16" borderId="12" xfId="0" applyFont="1" applyFill="1" applyBorder="1" applyAlignment="1">
      <alignment horizontal="left" vertical="center"/>
    </xf>
    <xf numFmtId="0" fontId="20" fillId="16" borderId="2" xfId="0" applyFont="1" applyFill="1" applyBorder="1" applyAlignment="1">
      <alignment horizontal="center" vertical="center"/>
    </xf>
    <xf numFmtId="0" fontId="28" fillId="6" borderId="9" xfId="0" applyFont="1" applyFill="1" applyBorder="1" applyAlignment="1">
      <alignment horizontal="center" vertical="center" wrapText="1"/>
    </xf>
    <xf numFmtId="0" fontId="28" fillId="6" borderId="38" xfId="0" applyFont="1" applyFill="1" applyBorder="1" applyAlignment="1">
      <alignment horizontal="center" vertical="center" wrapText="1"/>
    </xf>
    <xf numFmtId="0" fontId="28" fillId="6" borderId="12" xfId="0" applyFont="1" applyFill="1" applyBorder="1" applyAlignment="1">
      <alignment horizontal="center" vertical="center" wrapText="1"/>
    </xf>
    <xf numFmtId="0" fontId="20" fillId="16" borderId="9" xfId="0" applyFont="1" applyFill="1" applyBorder="1" applyAlignment="1">
      <alignment horizontal="center" vertical="center"/>
    </xf>
    <xf numFmtId="0" fontId="20" fillId="16" borderId="38" xfId="0" applyFont="1" applyFill="1" applyBorder="1" applyAlignment="1">
      <alignment horizontal="center" vertical="center"/>
    </xf>
    <xf numFmtId="0" fontId="20" fillId="16" borderId="12" xfId="0" applyFont="1" applyFill="1" applyBorder="1" applyAlignment="1">
      <alignment horizontal="center" vertical="center"/>
    </xf>
    <xf numFmtId="0" fontId="28" fillId="16" borderId="9" xfId="0" applyFont="1" applyFill="1" applyBorder="1" applyAlignment="1">
      <alignment horizontal="center" vertical="center" wrapText="1"/>
    </xf>
    <xf numFmtId="0" fontId="28" fillId="16" borderId="38" xfId="0" applyFont="1" applyFill="1" applyBorder="1" applyAlignment="1">
      <alignment horizontal="center" vertical="center" wrapText="1"/>
    </xf>
    <xf numFmtId="0" fontId="28" fillId="16" borderId="38" xfId="0" applyFont="1" applyFill="1" applyBorder="1" applyAlignment="1">
      <alignment horizontal="center" vertical="center"/>
    </xf>
    <xf numFmtId="0" fontId="28" fillId="16" borderId="12" xfId="0" applyFont="1" applyFill="1" applyBorder="1" applyAlignment="1">
      <alignment horizontal="center" vertical="center"/>
    </xf>
    <xf numFmtId="0" fontId="28" fillId="16" borderId="2" xfId="0" applyFont="1" applyFill="1" applyBorder="1" applyAlignment="1">
      <alignment horizontal="center" vertical="center" wrapText="1"/>
    </xf>
    <xf numFmtId="0" fontId="28" fillId="16" borderId="2" xfId="0" applyFont="1" applyFill="1" applyBorder="1" applyAlignment="1">
      <alignment horizontal="center" vertical="center"/>
    </xf>
    <xf numFmtId="0" fontId="5" fillId="7" borderId="29" xfId="0" applyFont="1" applyFill="1" applyBorder="1" applyAlignment="1" applyProtection="1">
      <alignment horizontal="center" vertical="center"/>
      <protection hidden="1"/>
    </xf>
    <xf numFmtId="0" fontId="5" fillId="7" borderId="50" xfId="0" applyFont="1" applyFill="1" applyBorder="1" applyAlignment="1" applyProtection="1">
      <alignment horizontal="center" vertical="center"/>
      <protection hidden="1"/>
    </xf>
    <xf numFmtId="0" fontId="5" fillId="7" borderId="34" xfId="0" applyFont="1" applyFill="1" applyBorder="1" applyAlignment="1" applyProtection="1">
      <alignment horizontal="center" vertical="center"/>
      <protection hidden="1"/>
    </xf>
    <xf numFmtId="0" fontId="24" fillId="7" borderId="31" xfId="0" applyFont="1" applyFill="1" applyBorder="1" applyAlignment="1" applyProtection="1">
      <alignment horizontal="center" vertical="center"/>
      <protection hidden="1"/>
    </xf>
    <xf numFmtId="0" fontId="24" fillId="7" borderId="0" xfId="0" applyFont="1" applyFill="1" applyAlignment="1" applyProtection="1">
      <alignment horizontal="center" vertical="center"/>
      <protection hidden="1"/>
    </xf>
    <xf numFmtId="0" fontId="24" fillId="7" borderId="102" xfId="0" applyFont="1" applyFill="1" applyBorder="1" applyAlignment="1" applyProtection="1">
      <alignment horizontal="center" vertical="center"/>
      <protection hidden="1"/>
    </xf>
    <xf numFmtId="0" fontId="100" fillId="16" borderId="2" xfId="0" applyFont="1" applyFill="1" applyBorder="1" applyAlignment="1" applyProtection="1">
      <alignment horizontal="center" vertical="center"/>
      <protection hidden="1"/>
    </xf>
    <xf numFmtId="0" fontId="101" fillId="16" borderId="2" xfId="0" applyFont="1" applyFill="1" applyBorder="1" applyAlignment="1" applyProtection="1">
      <alignment horizontal="center" vertical="center"/>
      <protection hidden="1"/>
    </xf>
    <xf numFmtId="0" fontId="104" fillId="16" borderId="2" xfId="0" applyFont="1" applyFill="1" applyBorder="1" applyAlignment="1" applyProtection="1">
      <alignment horizontal="center" vertical="center"/>
      <protection hidden="1"/>
    </xf>
    <xf numFmtId="0" fontId="42" fillId="20" borderId="28" xfId="0" applyFont="1" applyFill="1" applyBorder="1" applyAlignment="1" applyProtection="1">
      <alignment horizontal="center" vertical="center" wrapText="1"/>
      <protection hidden="1"/>
    </xf>
    <xf numFmtId="0" fontId="42" fillId="20" borderId="66" xfId="0" applyFont="1" applyFill="1" applyBorder="1" applyAlignment="1" applyProtection="1">
      <alignment horizontal="center" vertical="center" wrapText="1"/>
      <protection hidden="1"/>
    </xf>
    <xf numFmtId="0" fontId="101" fillId="16" borderId="2" xfId="0" applyFont="1" applyFill="1" applyBorder="1" applyAlignment="1" applyProtection="1">
      <alignment horizontal="center" vertical="center" wrapText="1"/>
      <protection hidden="1"/>
    </xf>
    <xf numFmtId="0" fontId="101" fillId="16" borderId="9" xfId="0" applyFont="1" applyFill="1" applyBorder="1" applyAlignment="1" applyProtection="1">
      <alignment horizontal="center" vertical="center" wrapText="1"/>
      <protection hidden="1"/>
    </xf>
    <xf numFmtId="0" fontId="101" fillId="16" borderId="12" xfId="0" applyFont="1" applyFill="1" applyBorder="1" applyAlignment="1" applyProtection="1">
      <alignment horizontal="center" vertical="center" wrapText="1"/>
      <protection hidden="1"/>
    </xf>
    <xf numFmtId="0" fontId="24" fillId="7" borderId="52" xfId="0" applyFont="1" applyFill="1" applyBorder="1" applyAlignment="1" applyProtection="1">
      <alignment horizontal="center" vertical="center"/>
      <protection hidden="1"/>
    </xf>
    <xf numFmtId="0" fontId="24" fillId="7" borderId="71" xfId="0" applyFont="1" applyFill="1" applyBorder="1" applyAlignment="1" applyProtection="1">
      <alignment horizontal="center" vertical="center"/>
      <protection hidden="1"/>
    </xf>
    <xf numFmtId="0" fontId="5" fillId="0" borderId="0" xfId="0" applyFont="1" applyAlignment="1" applyProtection="1">
      <alignment horizontal="center" vertical="center"/>
      <protection hidden="1"/>
    </xf>
    <xf numFmtId="0" fontId="5" fillId="17" borderId="2" xfId="0" applyFont="1" applyFill="1" applyBorder="1" applyAlignment="1" applyProtection="1">
      <alignment horizontal="center" vertical="center"/>
      <protection hidden="1"/>
    </xf>
    <xf numFmtId="0" fontId="20" fillId="7" borderId="103" xfId="0" applyFont="1" applyFill="1" applyBorder="1" applyAlignment="1" applyProtection="1">
      <alignment horizontal="center" vertical="center"/>
      <protection hidden="1"/>
    </xf>
    <xf numFmtId="0" fontId="20" fillId="7" borderId="60" xfId="0" applyFont="1" applyFill="1" applyBorder="1" applyAlignment="1" applyProtection="1">
      <alignment horizontal="center" vertical="center"/>
      <protection hidden="1"/>
    </xf>
    <xf numFmtId="0" fontId="20" fillId="7" borderId="30" xfId="0" applyFont="1" applyFill="1" applyBorder="1" applyAlignment="1" applyProtection="1">
      <alignment horizontal="center" vertical="center"/>
      <protection hidden="1"/>
    </xf>
    <xf numFmtId="0" fontId="20" fillId="7" borderId="4" xfId="0" applyFont="1" applyFill="1" applyBorder="1" applyAlignment="1" applyProtection="1">
      <alignment horizontal="center" vertical="center"/>
      <protection hidden="1"/>
    </xf>
    <xf numFmtId="0" fontId="20" fillId="7" borderId="5" xfId="0" applyFont="1" applyFill="1" applyBorder="1" applyAlignment="1" applyProtection="1">
      <alignment horizontal="center" vertical="center"/>
      <protection hidden="1"/>
    </xf>
    <xf numFmtId="0" fontId="20" fillId="7" borderId="9" xfId="0" applyFont="1" applyFill="1" applyBorder="1" applyAlignment="1" applyProtection="1">
      <alignment horizontal="center" vertical="center" wrapText="1"/>
      <protection hidden="1"/>
    </xf>
    <xf numFmtId="0" fontId="20" fillId="7" borderId="40" xfId="0" applyFont="1" applyFill="1" applyBorder="1" applyAlignment="1" applyProtection="1">
      <alignment horizontal="center" vertical="center" wrapText="1"/>
      <protection hidden="1"/>
    </xf>
    <xf numFmtId="176" fontId="38" fillId="0" borderId="41" xfId="1" applyNumberFormat="1" applyFont="1" applyFill="1" applyBorder="1" applyAlignment="1" applyProtection="1">
      <alignment horizontal="center" vertical="center"/>
      <protection locked="0"/>
    </xf>
    <xf numFmtId="176" fontId="38" fillId="0" borderId="44" xfId="1" applyNumberFormat="1" applyFont="1" applyFill="1" applyBorder="1" applyAlignment="1" applyProtection="1">
      <alignment horizontal="center" vertical="center"/>
      <protection locked="0"/>
    </xf>
    <xf numFmtId="0" fontId="23" fillId="6" borderId="20" xfId="0" applyFont="1" applyFill="1" applyBorder="1" applyAlignment="1" applyProtection="1">
      <alignment horizontal="center" vertical="center" wrapText="1"/>
      <protection hidden="1"/>
    </xf>
    <xf numFmtId="0" fontId="23" fillId="6" borderId="21" xfId="0" applyFont="1" applyFill="1" applyBorder="1" applyAlignment="1" applyProtection="1">
      <alignment horizontal="center" vertical="center"/>
      <protection hidden="1"/>
    </xf>
    <xf numFmtId="0" fontId="23" fillId="6" borderId="22" xfId="0" applyFont="1" applyFill="1" applyBorder="1" applyAlignment="1" applyProtection="1">
      <alignment horizontal="center" vertical="center"/>
      <protection hidden="1"/>
    </xf>
    <xf numFmtId="0" fontId="23" fillId="6" borderId="23" xfId="0" applyFont="1" applyFill="1" applyBorder="1" applyAlignment="1" applyProtection="1">
      <alignment horizontal="center" vertical="center"/>
      <protection hidden="1"/>
    </xf>
    <xf numFmtId="0" fontId="32" fillId="7" borderId="2" xfId="0" applyFont="1" applyFill="1" applyBorder="1" applyAlignment="1" applyProtection="1">
      <alignment horizontal="center" vertical="center" wrapText="1"/>
      <protection hidden="1"/>
    </xf>
    <xf numFmtId="0" fontId="24" fillId="7" borderId="2" xfId="0" applyFont="1" applyFill="1" applyBorder="1" applyAlignment="1" applyProtection="1">
      <alignment horizontal="center" vertical="center"/>
      <protection hidden="1"/>
    </xf>
    <xf numFmtId="0" fontId="32" fillId="7" borderId="9" xfId="0" applyFont="1" applyFill="1" applyBorder="1" applyAlignment="1" applyProtection="1">
      <alignment horizontal="center" vertical="center" wrapText="1"/>
      <protection hidden="1"/>
    </xf>
    <xf numFmtId="0" fontId="32" fillId="7" borderId="12" xfId="0" applyFont="1" applyFill="1" applyBorder="1" applyAlignment="1" applyProtection="1">
      <alignment horizontal="center" vertical="center" wrapText="1"/>
      <protection hidden="1"/>
    </xf>
    <xf numFmtId="0" fontId="20" fillId="7" borderId="29" xfId="0" applyFont="1" applyFill="1" applyBorder="1" applyAlignment="1" applyProtection="1">
      <alignment horizontal="center" vertical="center"/>
      <protection hidden="1"/>
    </xf>
    <xf numFmtId="0" fontId="20" fillId="7" borderId="50" xfId="0" applyFont="1" applyFill="1" applyBorder="1" applyAlignment="1" applyProtection="1">
      <alignment horizontal="center" vertical="center"/>
      <protection hidden="1"/>
    </xf>
    <xf numFmtId="0" fontId="20" fillId="7" borderId="21" xfId="0" applyFont="1" applyFill="1" applyBorder="1" applyAlignment="1" applyProtection="1">
      <alignment horizontal="center" vertical="center"/>
      <protection hidden="1"/>
    </xf>
    <xf numFmtId="0" fontId="16" fillId="16" borderId="70" xfId="0" applyFont="1" applyFill="1" applyBorder="1" applyAlignment="1" applyProtection="1">
      <alignment horizontal="center" vertical="center"/>
      <protection hidden="1"/>
    </xf>
    <xf numFmtId="0" fontId="16" fillId="16" borderId="69" xfId="0" applyFont="1" applyFill="1" applyBorder="1" applyAlignment="1" applyProtection="1">
      <alignment horizontal="center" vertical="center"/>
      <protection hidden="1"/>
    </xf>
    <xf numFmtId="0" fontId="108" fillId="16" borderId="70" xfId="0" applyFont="1" applyFill="1" applyBorder="1" applyAlignment="1" applyProtection="1">
      <alignment horizontal="center" vertical="center"/>
      <protection hidden="1"/>
    </xf>
    <xf numFmtId="0" fontId="108" fillId="16" borderId="69" xfId="0" applyFont="1" applyFill="1" applyBorder="1" applyAlignment="1" applyProtection="1">
      <alignment horizontal="center" vertical="center"/>
      <protection hidden="1"/>
    </xf>
    <xf numFmtId="0" fontId="5" fillId="0" borderId="94" xfId="0" applyFont="1" applyBorder="1" applyAlignment="1" applyProtection="1">
      <alignment horizontal="left" vertical="center" wrapText="1"/>
      <protection hidden="1"/>
    </xf>
    <xf numFmtId="0" fontId="5" fillId="0" borderId="100" xfId="0" applyFont="1" applyBorder="1" applyAlignment="1" applyProtection="1">
      <alignment horizontal="left" vertical="center" wrapText="1"/>
      <protection hidden="1"/>
    </xf>
    <xf numFmtId="0" fontId="5" fillId="0" borderId="95" xfId="0" applyFont="1" applyBorder="1" applyAlignment="1" applyProtection="1">
      <alignment horizontal="left" vertical="center" wrapText="1"/>
      <protection hidden="1"/>
    </xf>
    <xf numFmtId="0" fontId="5" fillId="0" borderId="96" xfId="0" applyFont="1" applyBorder="1" applyAlignment="1" applyProtection="1">
      <alignment horizontal="left" vertical="center" wrapText="1"/>
      <protection hidden="1"/>
    </xf>
    <xf numFmtId="0" fontId="5" fillId="0" borderId="0" xfId="0" applyFont="1" applyAlignment="1" applyProtection="1">
      <alignment horizontal="left" vertical="center" wrapText="1"/>
      <protection hidden="1"/>
    </xf>
    <xf numFmtId="0" fontId="5" fillId="0" borderId="97" xfId="0" applyFont="1" applyBorder="1" applyAlignment="1" applyProtection="1">
      <alignment horizontal="left" vertical="center" wrapText="1"/>
      <protection hidden="1"/>
    </xf>
    <xf numFmtId="0" fontId="5" fillId="0" borderId="98" xfId="0" applyFont="1" applyBorder="1" applyAlignment="1" applyProtection="1">
      <alignment horizontal="left" vertical="center" wrapText="1"/>
      <protection hidden="1"/>
    </xf>
    <xf numFmtId="0" fontId="5" fillId="0" borderId="101" xfId="0" applyFont="1" applyBorder="1" applyAlignment="1" applyProtection="1">
      <alignment horizontal="left" vertical="center" wrapText="1"/>
      <protection hidden="1"/>
    </xf>
    <xf numFmtId="0" fontId="5" fillId="0" borderId="99"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protection hidden="1"/>
    </xf>
    <xf numFmtId="0" fontId="4" fillId="0" borderId="5" xfId="0" applyFont="1" applyBorder="1" applyAlignment="1" applyProtection="1">
      <alignment horizontal="center" vertical="center"/>
      <protection hidden="1"/>
    </xf>
    <xf numFmtId="0" fontId="24" fillId="7" borderId="27" xfId="0" applyFont="1" applyFill="1" applyBorder="1" applyAlignment="1" applyProtection="1">
      <alignment horizontal="center" vertical="center"/>
      <protection hidden="1"/>
    </xf>
    <xf numFmtId="0" fontId="24" fillId="7" borderId="61" xfId="0" applyFont="1" applyFill="1" applyBorder="1" applyAlignment="1" applyProtection="1">
      <alignment horizontal="center" vertical="center"/>
      <protection hidden="1"/>
    </xf>
    <xf numFmtId="0" fontId="24" fillId="7" borderId="3" xfId="0" applyFont="1" applyFill="1" applyBorder="1" applyAlignment="1" applyProtection="1">
      <alignment horizontal="center" vertical="center"/>
      <protection hidden="1"/>
    </xf>
    <xf numFmtId="0" fontId="24" fillId="7" borderId="5" xfId="0" applyFont="1" applyFill="1" applyBorder="1" applyAlignment="1" applyProtection="1">
      <alignment horizontal="center" vertical="center"/>
      <protection hidden="1"/>
    </xf>
    <xf numFmtId="0" fontId="20" fillId="7" borderId="2" xfId="0" applyFont="1" applyFill="1" applyBorder="1" applyAlignment="1" applyProtection="1">
      <alignment horizontal="center" vertical="center" wrapText="1"/>
      <protection hidden="1"/>
    </xf>
    <xf numFmtId="0" fontId="108" fillId="16" borderId="72" xfId="0" applyFont="1" applyFill="1" applyBorder="1" applyAlignment="1" applyProtection="1">
      <alignment horizontal="center" vertical="center"/>
      <protection hidden="1"/>
    </xf>
    <xf numFmtId="0" fontId="24" fillId="0" borderId="94" xfId="0" applyFont="1" applyBorder="1" applyAlignment="1" applyProtection="1">
      <alignment horizontal="left" vertical="center" wrapText="1"/>
      <protection hidden="1"/>
    </xf>
    <xf numFmtId="0" fontId="24" fillId="0" borderId="100" xfId="0" applyFont="1" applyBorder="1" applyAlignment="1" applyProtection="1">
      <alignment horizontal="left" vertical="center" wrapText="1"/>
      <protection hidden="1"/>
    </xf>
    <xf numFmtId="0" fontId="24" fillId="0" borderId="95" xfId="0" applyFont="1" applyBorder="1" applyAlignment="1" applyProtection="1">
      <alignment horizontal="left" vertical="center" wrapText="1"/>
      <protection hidden="1"/>
    </xf>
    <xf numFmtId="0" fontId="24" fillId="0" borderId="96" xfId="0" applyFont="1" applyBorder="1" applyAlignment="1" applyProtection="1">
      <alignment horizontal="left" vertical="center" wrapText="1"/>
      <protection hidden="1"/>
    </xf>
    <xf numFmtId="0" fontId="24" fillId="0" borderId="0" xfId="0" applyFont="1" applyAlignment="1" applyProtection="1">
      <alignment horizontal="left" vertical="center" wrapText="1"/>
      <protection hidden="1"/>
    </xf>
    <xf numFmtId="0" fontId="24" fillId="0" borderId="97" xfId="0" applyFont="1" applyBorder="1" applyAlignment="1" applyProtection="1">
      <alignment horizontal="left" vertical="center" wrapText="1"/>
      <protection hidden="1"/>
    </xf>
    <xf numFmtId="0" fontId="24" fillId="0" borderId="98" xfId="0" applyFont="1" applyBorder="1" applyAlignment="1" applyProtection="1">
      <alignment horizontal="left" vertical="center" wrapText="1"/>
      <protection hidden="1"/>
    </xf>
    <xf numFmtId="0" fontId="24" fillId="0" borderId="101" xfId="0" applyFont="1" applyBorder="1" applyAlignment="1" applyProtection="1">
      <alignment horizontal="left" vertical="center" wrapText="1"/>
      <protection hidden="1"/>
    </xf>
    <xf numFmtId="0" fontId="24" fillId="0" borderId="99" xfId="0" applyFont="1" applyBorder="1" applyAlignment="1" applyProtection="1">
      <alignment horizontal="left" vertical="center" wrapText="1"/>
      <protection hidden="1"/>
    </xf>
    <xf numFmtId="0" fontId="4" fillId="0" borderId="10" xfId="0" applyFont="1" applyBorder="1" applyAlignment="1" applyProtection="1">
      <alignment horizontal="center" vertical="center"/>
      <protection hidden="1"/>
    </xf>
    <xf numFmtId="0" fontId="4" fillId="0" borderId="46" xfId="0" applyFont="1" applyBorder="1" applyAlignment="1" applyProtection="1">
      <alignment horizontal="center" vertical="center"/>
      <protection hidden="1"/>
    </xf>
    <xf numFmtId="0" fontId="4" fillId="0" borderId="37" xfId="0" applyFont="1" applyBorder="1" applyAlignment="1" applyProtection="1">
      <alignment horizontal="center" vertical="center"/>
      <protection hidden="1"/>
    </xf>
    <xf numFmtId="38" fontId="38" fillId="0" borderId="3" xfId="2" applyFont="1" applyFill="1" applyBorder="1" applyAlignment="1" applyProtection="1">
      <alignment horizontal="right" vertical="center"/>
      <protection hidden="1"/>
    </xf>
    <xf numFmtId="38" fontId="38" fillId="0" borderId="4" xfId="2" applyFont="1" applyFill="1" applyBorder="1" applyAlignment="1" applyProtection="1">
      <alignment horizontal="right" vertical="center"/>
      <protection hidden="1"/>
    </xf>
    <xf numFmtId="0" fontId="38" fillId="0" borderId="3" xfId="0" applyFont="1" applyBorder="1" applyAlignment="1" applyProtection="1">
      <alignment horizontal="right" vertical="center"/>
      <protection hidden="1"/>
    </xf>
    <xf numFmtId="0" fontId="38" fillId="0" borderId="4" xfId="0" applyFont="1" applyBorder="1" applyAlignment="1" applyProtection="1">
      <alignment horizontal="right" vertical="center"/>
      <protection hidden="1"/>
    </xf>
    <xf numFmtId="0" fontId="124" fillId="7" borderId="31" xfId="0" applyFont="1" applyFill="1" applyBorder="1" applyAlignment="1" applyProtection="1">
      <alignment horizontal="center" vertical="center"/>
      <protection hidden="1"/>
    </xf>
    <xf numFmtId="0" fontId="124" fillId="7" borderId="0" xfId="0" applyFont="1" applyFill="1" applyAlignment="1" applyProtection="1">
      <alignment horizontal="center" vertical="center"/>
      <protection hidden="1"/>
    </xf>
    <xf numFmtId="0" fontId="124" fillId="7" borderId="102" xfId="0" applyFont="1" applyFill="1" applyBorder="1" applyAlignment="1" applyProtection="1">
      <alignment horizontal="center" vertical="center"/>
      <protection hidden="1"/>
    </xf>
    <xf numFmtId="0" fontId="123" fillId="16" borderId="70" xfId="0" applyFont="1" applyFill="1" applyBorder="1" applyAlignment="1" applyProtection="1">
      <alignment horizontal="center" vertical="center"/>
      <protection hidden="1"/>
    </xf>
    <xf numFmtId="0" fontId="123" fillId="16" borderId="69" xfId="0" applyFont="1" applyFill="1" applyBorder="1" applyAlignment="1" applyProtection="1">
      <alignment horizontal="center" vertical="center"/>
      <protection hidden="1"/>
    </xf>
    <xf numFmtId="0" fontId="124" fillId="7" borderId="29" xfId="0" applyFont="1" applyFill="1" applyBorder="1" applyAlignment="1" applyProtection="1">
      <alignment horizontal="center" vertical="center"/>
      <protection hidden="1"/>
    </xf>
    <xf numFmtId="0" fontId="124" fillId="7" borderId="50" xfId="0" applyFont="1" applyFill="1" applyBorder="1" applyAlignment="1" applyProtection="1">
      <alignment horizontal="center" vertical="center"/>
      <protection hidden="1"/>
    </xf>
    <xf numFmtId="0" fontId="124" fillId="7" borderId="21" xfId="0" applyFont="1" applyFill="1" applyBorder="1" applyAlignment="1" applyProtection="1">
      <alignment horizontal="center" vertical="center"/>
      <protection hidden="1"/>
    </xf>
    <xf numFmtId="0" fontId="124" fillId="7" borderId="30" xfId="0" applyFont="1" applyFill="1" applyBorder="1" applyAlignment="1" applyProtection="1">
      <alignment horizontal="center" vertical="center"/>
      <protection hidden="1"/>
    </xf>
    <xf numFmtId="0" fontId="124" fillId="7" borderId="4" xfId="0" applyFont="1" applyFill="1" applyBorder="1" applyAlignment="1" applyProtection="1">
      <alignment horizontal="center" vertical="center"/>
      <protection hidden="1"/>
    </xf>
    <xf numFmtId="0" fontId="126" fillId="7" borderId="2" xfId="0" applyFont="1" applyFill="1" applyBorder="1" applyAlignment="1" applyProtection="1">
      <alignment horizontal="center" vertical="center" wrapText="1"/>
      <protection hidden="1"/>
    </xf>
    <xf numFmtId="0" fontId="124" fillId="7" borderId="2" xfId="0" applyFont="1" applyFill="1" applyBorder="1" applyAlignment="1" applyProtection="1">
      <alignment horizontal="center" vertical="center"/>
      <protection hidden="1"/>
    </xf>
    <xf numFmtId="0" fontId="128" fillId="19" borderId="52" xfId="0" applyFont="1" applyFill="1" applyBorder="1" applyAlignment="1" applyProtection="1">
      <alignment horizontal="center" vertical="center"/>
      <protection hidden="1"/>
    </xf>
    <xf numFmtId="0" fontId="128" fillId="19" borderId="61" xfId="0" applyFont="1" applyFill="1" applyBorder="1" applyAlignment="1" applyProtection="1">
      <alignment horizontal="center" vertical="center"/>
      <protection hidden="1"/>
    </xf>
    <xf numFmtId="0" fontId="128" fillId="17" borderId="52" xfId="0" applyFont="1" applyFill="1" applyBorder="1" applyAlignment="1" applyProtection="1">
      <alignment horizontal="center" vertical="center"/>
      <protection hidden="1"/>
    </xf>
    <xf numFmtId="0" fontId="128" fillId="17" borderId="71" xfId="0" applyFont="1" applyFill="1" applyBorder="1" applyAlignment="1" applyProtection="1">
      <alignment horizontal="center" vertical="center"/>
      <protection hidden="1"/>
    </xf>
    <xf numFmtId="0" fontId="124" fillId="6" borderId="20" xfId="0" applyFont="1" applyFill="1" applyBorder="1" applyAlignment="1" applyProtection="1">
      <alignment horizontal="center" vertical="center" wrapText="1"/>
      <protection hidden="1"/>
    </xf>
    <xf numFmtId="0" fontId="124" fillId="6" borderId="21" xfId="0" applyFont="1" applyFill="1" applyBorder="1" applyAlignment="1" applyProtection="1">
      <alignment horizontal="center" vertical="center"/>
      <protection hidden="1"/>
    </xf>
    <xf numFmtId="0" fontId="124" fillId="6" borderId="75" xfId="0" applyFont="1" applyFill="1" applyBorder="1" applyAlignment="1" applyProtection="1">
      <alignment horizontal="center" vertical="center"/>
      <protection hidden="1"/>
    </xf>
    <xf numFmtId="0" fontId="124" fillId="6" borderId="63" xfId="0" applyFont="1" applyFill="1" applyBorder="1" applyAlignment="1" applyProtection="1">
      <alignment horizontal="center" vertical="center"/>
      <protection hidden="1"/>
    </xf>
    <xf numFmtId="0" fontId="124" fillId="7" borderId="5" xfId="0" applyFont="1" applyFill="1" applyBorder="1" applyAlignment="1" applyProtection="1">
      <alignment horizontal="center" vertical="center"/>
      <protection hidden="1"/>
    </xf>
    <xf numFmtId="0" fontId="124" fillId="7" borderId="103" xfId="0" applyFont="1" applyFill="1" applyBorder="1" applyAlignment="1" applyProtection="1">
      <alignment horizontal="center" vertical="center"/>
      <protection hidden="1"/>
    </xf>
    <xf numFmtId="0" fontId="124" fillId="7" borderId="60" xfId="0" applyFont="1" applyFill="1" applyBorder="1" applyAlignment="1" applyProtection="1">
      <alignment horizontal="center" vertical="center"/>
      <protection hidden="1"/>
    </xf>
    <xf numFmtId="176" fontId="127" fillId="0" borderId="6" xfId="1" applyNumberFormat="1" applyFont="1" applyFill="1" applyBorder="1" applyAlignment="1" applyProtection="1">
      <alignment horizontal="center" vertical="center"/>
      <protection hidden="1"/>
    </xf>
    <xf numFmtId="176" fontId="127" fillId="0" borderId="19" xfId="1" applyNumberFormat="1" applyFont="1" applyFill="1" applyBorder="1" applyAlignment="1" applyProtection="1">
      <alignment horizontal="center" vertical="center"/>
      <protection hidden="1"/>
    </xf>
    <xf numFmtId="0" fontId="1" fillId="0" borderId="29" xfId="0" applyFont="1" applyBorder="1" applyAlignment="1">
      <alignment horizontal="center" vertical="center"/>
    </xf>
    <xf numFmtId="0" fontId="1" fillId="0" borderId="50" xfId="0" applyFont="1" applyBorder="1" applyAlignment="1">
      <alignment horizontal="center" vertical="center"/>
    </xf>
    <xf numFmtId="0" fontId="1" fillId="0" borderId="49" xfId="0" applyFont="1" applyBorder="1" applyAlignment="1">
      <alignment horizontal="center" vertical="center"/>
    </xf>
    <xf numFmtId="0" fontId="1" fillId="0" borderId="48" xfId="0" applyFont="1" applyBorder="1" applyAlignment="1">
      <alignment horizontal="center" vertical="center"/>
    </xf>
    <xf numFmtId="0" fontId="1" fillId="0" borderId="34" xfId="0" applyFont="1" applyBorder="1" applyAlignment="1">
      <alignment horizontal="center" vertical="center"/>
    </xf>
    <xf numFmtId="0" fontId="1" fillId="0" borderId="31" xfId="0" applyFont="1" applyBorder="1" applyAlignment="1">
      <alignment horizontal="center"/>
    </xf>
    <xf numFmtId="0" fontId="1" fillId="0" borderId="0" xfId="0" applyFont="1" applyAlignment="1">
      <alignment horizontal="center"/>
    </xf>
    <xf numFmtId="0" fontId="24" fillId="10" borderId="3" xfId="0" applyFont="1" applyFill="1" applyBorder="1" applyAlignment="1">
      <alignment horizontal="center" vertical="center"/>
    </xf>
    <xf numFmtId="0" fontId="24" fillId="10" borderId="4" xfId="0" applyFont="1" applyFill="1" applyBorder="1" applyAlignment="1">
      <alignment horizontal="center" vertical="center"/>
    </xf>
    <xf numFmtId="0" fontId="24" fillId="10" borderId="5" xfId="0" applyFont="1" applyFill="1" applyBorder="1" applyAlignment="1">
      <alignment horizontal="center" vertical="center"/>
    </xf>
    <xf numFmtId="0" fontId="24" fillId="10" borderId="2" xfId="0" applyFont="1" applyFill="1" applyBorder="1" applyAlignment="1">
      <alignment horizontal="center" vertical="center"/>
    </xf>
    <xf numFmtId="0" fontId="24" fillId="0" borderId="2" xfId="0" applyFont="1" applyBorder="1" applyAlignment="1">
      <alignment horizontal="center" vertical="center"/>
    </xf>
    <xf numFmtId="38" fontId="5" fillId="12" borderId="29" xfId="2" applyFont="1" applyFill="1" applyBorder="1" applyAlignment="1" applyProtection="1">
      <alignment horizontal="center" vertical="center" shrinkToFit="1"/>
    </xf>
    <xf numFmtId="38" fontId="5" fillId="12" borderId="34" xfId="2" applyFont="1" applyFill="1" applyBorder="1" applyAlignment="1" applyProtection="1">
      <alignment horizontal="center" vertical="center" shrinkToFit="1"/>
    </xf>
    <xf numFmtId="0" fontId="24" fillId="6" borderId="3" xfId="0" applyFont="1" applyFill="1" applyBorder="1" applyAlignment="1">
      <alignment horizontal="center" vertical="center"/>
    </xf>
    <xf numFmtId="0" fontId="24" fillId="6" borderId="5" xfId="0" applyFont="1" applyFill="1" applyBorder="1" applyAlignment="1">
      <alignment horizontal="center" vertical="center"/>
    </xf>
    <xf numFmtId="0" fontId="24" fillId="6" borderId="4"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17" xfId="0" applyFont="1" applyFill="1" applyBorder="1" applyAlignment="1">
      <alignment horizontal="center" vertical="center"/>
    </xf>
    <xf numFmtId="38" fontId="42" fillId="0" borderId="28" xfId="2" applyFont="1" applyBorder="1" applyAlignment="1" applyProtection="1">
      <alignment horizontal="center" vertical="center"/>
    </xf>
    <xf numFmtId="38" fontId="42" fillId="0" borderId="68" xfId="2" applyFont="1" applyBorder="1" applyAlignment="1" applyProtection="1">
      <alignment horizontal="center" vertical="center"/>
    </xf>
    <xf numFmtId="38" fontId="42" fillId="0" borderId="66" xfId="2" applyFont="1" applyBorder="1" applyAlignment="1" applyProtection="1">
      <alignment horizontal="center" vertical="center"/>
    </xf>
    <xf numFmtId="0" fontId="5" fillId="10" borderId="52" xfId="0" applyFont="1" applyFill="1" applyBorder="1" applyAlignment="1">
      <alignment horizontal="center" vertical="center"/>
    </xf>
    <xf numFmtId="0" fontId="5" fillId="10" borderId="61" xfId="0" applyFont="1" applyFill="1" applyBorder="1" applyAlignment="1">
      <alignment horizontal="center" vertical="center"/>
    </xf>
    <xf numFmtId="0" fontId="5" fillId="10" borderId="71" xfId="0" applyFont="1" applyFill="1" applyBorder="1" applyAlignment="1">
      <alignment horizontal="center" vertical="center"/>
    </xf>
    <xf numFmtId="0" fontId="24" fillId="16" borderId="2" xfId="0" applyFont="1" applyFill="1" applyBorder="1" applyAlignment="1">
      <alignment horizontal="left" vertical="center" wrapText="1"/>
    </xf>
    <xf numFmtId="0" fontId="24" fillId="16" borderId="3" xfId="0" applyFont="1" applyFill="1" applyBorder="1" applyAlignment="1">
      <alignment horizontal="left" vertical="center" wrapText="1"/>
    </xf>
    <xf numFmtId="0" fontId="24" fillId="10" borderId="12" xfId="0" applyFont="1" applyFill="1" applyBorder="1" applyAlignment="1">
      <alignment horizontal="center" vertical="center"/>
    </xf>
    <xf numFmtId="180" fontId="71" fillId="6" borderId="0" xfId="0" applyNumberFormat="1" applyFont="1" applyFill="1" applyAlignment="1">
      <alignment horizontal="center" vertical="center"/>
    </xf>
  </cellXfs>
  <cellStyles count="5">
    <cellStyle name="パーセント" xfId="1" builtinId="5"/>
    <cellStyle name="ハイパーリンク" xfId="3" builtinId="8"/>
    <cellStyle name="桁区切り" xfId="2" builtinId="6"/>
    <cellStyle name="標準" xfId="0" builtinId="0"/>
    <cellStyle name="標準_退職金制度診断システム1_04" xfId="4" xr:uid="{E6293051-C267-421F-83D0-55C61D4AF87F}"/>
  </cellStyles>
  <dxfs count="37">
    <dxf>
      <fill>
        <patternFill>
          <bgColor theme="0"/>
        </patternFill>
      </fill>
    </dxf>
    <dxf>
      <fill>
        <patternFill>
          <bgColor theme="8" tint="0.79998168889431442"/>
        </patternFill>
      </fill>
    </dxf>
    <dxf>
      <fill>
        <patternFill>
          <bgColor rgb="FFFFFFCC"/>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8" tint="0.79998168889431442"/>
        </patternFill>
      </fill>
    </dxf>
    <dxf>
      <fill>
        <patternFill>
          <bgColor rgb="FFFFFFCC"/>
        </patternFill>
      </fill>
    </dxf>
    <dxf>
      <fill>
        <patternFill>
          <bgColor theme="6" tint="0.79998168889431442"/>
        </patternFill>
      </fill>
    </dxf>
    <dxf>
      <fill>
        <patternFill>
          <bgColor theme="9" tint="0.79998168889431442"/>
        </patternFill>
      </fill>
    </dxf>
    <dxf>
      <fill>
        <patternFill>
          <bgColor theme="0"/>
        </patternFill>
      </fill>
    </dxf>
    <dxf>
      <fill>
        <patternFill>
          <bgColor rgb="FFFFFFCC"/>
        </patternFill>
      </fill>
    </dxf>
    <dxf>
      <fill>
        <patternFill>
          <bgColor theme="0"/>
        </patternFill>
      </fill>
    </dxf>
    <dxf>
      <fill>
        <patternFill>
          <bgColor theme="0"/>
        </patternFill>
      </fill>
    </dxf>
    <dxf>
      <fill>
        <patternFill>
          <bgColor theme="8" tint="0.79998168889431442"/>
        </patternFill>
      </fill>
    </dxf>
    <dxf>
      <fill>
        <patternFill>
          <bgColor rgb="FFFFFFCC"/>
        </patternFill>
      </fill>
    </dxf>
    <dxf>
      <fill>
        <patternFill>
          <bgColor theme="6" tint="0.79998168889431442"/>
        </patternFill>
      </fill>
    </dxf>
    <dxf>
      <fill>
        <patternFill>
          <bgColor theme="9" tint="0.79998168889431442"/>
        </patternFill>
      </fill>
    </dxf>
    <dxf>
      <fill>
        <patternFill>
          <bgColor theme="0"/>
        </patternFill>
      </fill>
    </dxf>
    <dxf>
      <fill>
        <patternFill>
          <bgColor theme="8" tint="0.79998168889431442"/>
        </patternFill>
      </fill>
    </dxf>
    <dxf>
      <fill>
        <patternFill>
          <bgColor rgb="FFFFFFCC"/>
        </patternFill>
      </fill>
    </dxf>
    <dxf>
      <fill>
        <patternFill>
          <bgColor theme="6" tint="0.79998168889431442"/>
        </patternFill>
      </fill>
    </dxf>
    <dxf>
      <fill>
        <patternFill>
          <bgColor theme="9" tint="0.79998168889431442"/>
        </patternFill>
      </fill>
    </dxf>
    <dxf>
      <fill>
        <patternFill>
          <bgColor rgb="FFFFFFD5"/>
        </patternFill>
      </fill>
    </dxf>
    <dxf>
      <fill>
        <patternFill>
          <bgColor theme="0"/>
        </patternFill>
      </fill>
    </dxf>
    <dxf>
      <fill>
        <patternFill>
          <bgColor theme="0"/>
        </patternFill>
      </fill>
    </dxf>
    <dxf>
      <fill>
        <patternFill>
          <bgColor theme="8" tint="0.79998168889431442"/>
        </patternFill>
      </fill>
    </dxf>
    <dxf>
      <fill>
        <patternFill>
          <bgColor rgb="FFFFFFCC"/>
        </patternFill>
      </fill>
    </dxf>
    <dxf>
      <fill>
        <patternFill>
          <bgColor theme="6" tint="0.79998168889431442"/>
        </patternFill>
      </fill>
    </dxf>
    <dxf>
      <fill>
        <patternFill>
          <bgColor theme="9" tint="0.79998168889431442"/>
        </patternFill>
      </fill>
    </dxf>
    <dxf>
      <fill>
        <patternFill>
          <bgColor theme="0"/>
        </patternFill>
      </fill>
    </dxf>
    <dxf>
      <fill>
        <patternFill>
          <bgColor theme="8" tint="0.79998168889431442"/>
        </patternFill>
      </fill>
    </dxf>
    <dxf>
      <fill>
        <patternFill>
          <bgColor rgb="FFFFFFCC"/>
        </patternFill>
      </fill>
    </dxf>
    <dxf>
      <fill>
        <patternFill>
          <bgColor theme="6" tint="0.79998168889431442"/>
        </patternFill>
      </fill>
    </dxf>
    <dxf>
      <fill>
        <patternFill>
          <bgColor theme="9" tint="0.79998168889431442"/>
        </patternFill>
      </fill>
    </dxf>
    <dxf>
      <fill>
        <patternFill>
          <bgColor theme="0"/>
        </patternFill>
      </fill>
    </dxf>
  </dxfs>
  <tableStyles count="0" defaultTableStyle="TableStyleMedium9" defaultPivotStyle="PivotStyleLight16"/>
  <colors>
    <mruColors>
      <color rgb="FFFF6600"/>
      <color rgb="FF3333FF"/>
      <color rgb="FF00FF99"/>
      <color rgb="FF99FFCC"/>
      <color rgb="FFFF99CC"/>
      <color rgb="FFFFFFCC"/>
      <color rgb="FFFFFFCD"/>
      <color rgb="FFFEF6F0"/>
      <color rgb="FFF5F8EE"/>
      <color rgb="FFFFFF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image" Target="../media/image9.png"/><Relationship Id="rId26" Type="http://schemas.openxmlformats.org/officeDocument/2006/relationships/image" Target="../media/image16.png"/><Relationship Id="rId3" Type="http://schemas.openxmlformats.org/officeDocument/2006/relationships/hyperlink" Target="#'2-2.&#20445;&#38522;&#26009;&#12539;&#22320;&#26041;&#31246;&#31561;&#20837;&#21147;&#30011;&#38754;'!A1"/><Relationship Id="rId21" Type="http://schemas.openxmlformats.org/officeDocument/2006/relationships/image" Target="../media/image11.emf"/><Relationship Id="rId34" Type="http://schemas.openxmlformats.org/officeDocument/2006/relationships/image" Target="../media/image24.png"/><Relationship Id="rId7" Type="http://schemas.openxmlformats.org/officeDocument/2006/relationships/hyperlink" Target="#'4-1.&#25163;&#24403;&#31561;&#25903;&#32102;&#12513;&#12491;&#12517;&#12540;'!A1"/><Relationship Id="rId12" Type="http://schemas.openxmlformats.org/officeDocument/2006/relationships/image" Target="../media/image4.png"/><Relationship Id="rId17" Type="http://schemas.openxmlformats.org/officeDocument/2006/relationships/image" Target="../media/image8.png"/><Relationship Id="rId25" Type="http://schemas.openxmlformats.org/officeDocument/2006/relationships/image" Target="../media/image15.png"/><Relationship Id="rId33" Type="http://schemas.openxmlformats.org/officeDocument/2006/relationships/image" Target="../media/image23.png"/><Relationship Id="rId2" Type="http://schemas.openxmlformats.org/officeDocument/2006/relationships/hyperlink" Target="#'&#65302;.&#20351;&#29992;&#19978;&#12398;&#27880;&#24847;'!A1"/><Relationship Id="rId16" Type="http://schemas.openxmlformats.org/officeDocument/2006/relationships/image" Target="../media/image7.png"/><Relationship Id="rId20" Type="http://schemas.openxmlformats.org/officeDocument/2006/relationships/hyperlink" Target="#'4-2.&#25163;&#24403;&#31561;&#25903;&#32102;&#12513;&#12491;&#12517;&#12540;&#12362;&#30693;&#12425;&#12379;&#65281;'!A1"/><Relationship Id="rId29" Type="http://schemas.openxmlformats.org/officeDocument/2006/relationships/image" Target="../media/image19.png"/><Relationship Id="rId1" Type="http://schemas.openxmlformats.org/officeDocument/2006/relationships/image" Target="../media/image1.emf"/><Relationship Id="rId6" Type="http://schemas.openxmlformats.org/officeDocument/2006/relationships/hyperlink" Target="#'1-1.&#24467;&#26989;&#21729;&#12487;&#12540;&#12479;&#32102;&#19982;&#25913;&#23450;&#26696;&#20837;&#21147;&#30011;&#38754;'!A1"/><Relationship Id="rId11" Type="http://schemas.openxmlformats.org/officeDocument/2006/relationships/image" Target="../media/image3.emf"/><Relationship Id="rId24" Type="http://schemas.openxmlformats.org/officeDocument/2006/relationships/image" Target="../media/image14.emf"/><Relationship Id="rId32" Type="http://schemas.openxmlformats.org/officeDocument/2006/relationships/image" Target="../media/image22.emf"/><Relationship Id="rId5" Type="http://schemas.openxmlformats.org/officeDocument/2006/relationships/hyperlink" Target="#'5-2.&#20341;&#29992;&#12513;&#12491;&#12517;&#12540;&#12362;&#30693;&#12425;&#12379;&#65281;&#65288;&#65298;&#24180;&#30446;&#65289;'!A1"/><Relationship Id="rId15" Type="http://schemas.openxmlformats.org/officeDocument/2006/relationships/hyperlink" Target="#'4-0.&#35373;&#23450; &#20181;&#27096;&#27010;&#35201;'!A1"/><Relationship Id="rId23" Type="http://schemas.openxmlformats.org/officeDocument/2006/relationships/image" Target="../media/image13.png"/><Relationship Id="rId28" Type="http://schemas.openxmlformats.org/officeDocument/2006/relationships/image" Target="../media/image18.png"/><Relationship Id="rId36" Type="http://schemas.openxmlformats.org/officeDocument/2006/relationships/image" Target="../media/image26.png"/><Relationship Id="rId10" Type="http://schemas.openxmlformats.org/officeDocument/2006/relationships/image" Target="../media/image2.emf"/><Relationship Id="rId19" Type="http://schemas.openxmlformats.org/officeDocument/2006/relationships/image" Target="../media/image10.png"/><Relationship Id="rId31" Type="http://schemas.openxmlformats.org/officeDocument/2006/relationships/image" Target="../media/image21.emf"/><Relationship Id="rId4" Type="http://schemas.openxmlformats.org/officeDocument/2006/relationships/hyperlink" Target="#'5-1.&#20341;&#29992;&#12513;&#12491;&#12517;&#12540;&#65288;&#65298;&#24180;&#30446;&#65289;'!A1"/><Relationship Id="rId9" Type="http://schemas.openxmlformats.org/officeDocument/2006/relationships/hyperlink" Target="#'3-2.&#25152;&#24471;&#31639;&#20986;&#21442;&#29031;&#34920;'!A1"/><Relationship Id="rId14" Type="http://schemas.openxmlformats.org/officeDocument/2006/relationships/image" Target="../media/image6.emf"/><Relationship Id="rId22" Type="http://schemas.openxmlformats.org/officeDocument/2006/relationships/image" Target="../media/image12.emf"/><Relationship Id="rId27" Type="http://schemas.openxmlformats.org/officeDocument/2006/relationships/image" Target="../media/image17.png"/><Relationship Id="rId30" Type="http://schemas.openxmlformats.org/officeDocument/2006/relationships/image" Target="../media/image20.png"/><Relationship Id="rId35" Type="http://schemas.openxmlformats.org/officeDocument/2006/relationships/image" Target="../media/image25.png"/><Relationship Id="rId8" Type="http://schemas.openxmlformats.org/officeDocument/2006/relationships/hyperlink" Target="#'3-1.&#27161;&#28310;&#22577;&#37228;&#26376;&#38989;&#12539;&#20445;&#38522;&#26009;&#34920;'!A1"/></Relationships>
</file>

<file path=xl/drawings/_rels/drawing10.xml.rels><?xml version="1.0" encoding="UTF-8" standalone="yes"?>
<Relationships xmlns="http://schemas.openxmlformats.org/package/2006/relationships"><Relationship Id="rId2" Type="http://schemas.openxmlformats.org/officeDocument/2006/relationships/hyperlink" Target="#'&#12513;&#12491;&#12517;&#12540;&#65325;&#65313;&#65328;&#65286;&#25805;&#20316;&#25163;&#38918;'!A1"/><Relationship Id="rId1" Type="http://schemas.openxmlformats.org/officeDocument/2006/relationships/image" Target="../media/image28.png"/></Relationships>
</file>

<file path=xl/drawings/_rels/drawing11.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1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hyperlink" Target="#'&#12513;&#12491;&#12517;&#12540;&#65325;&#65313;&#65328;&#65286;&#25805;&#20316;&#25163;&#38918;'!A1"/></Relationships>
</file>

<file path=xl/drawings/_rels/drawing13.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2.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3.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4.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5.xml.rels><?xml version="1.0" encoding="UTF-8" standalone="yes"?>
<Relationships xmlns="http://schemas.openxmlformats.org/package/2006/relationships"><Relationship Id="rId2" Type="http://schemas.openxmlformats.org/officeDocument/2006/relationships/hyperlink" Target="#'&#12513;&#12491;&#12517;&#12540;&#65325;&#65313;&#65328;&#65286;&#25805;&#20316;&#25163;&#38918;'!A1"/><Relationship Id="rId1" Type="http://schemas.openxmlformats.org/officeDocument/2006/relationships/image" Target="../media/image28.png"/></Relationships>
</file>

<file path=xl/drawings/_rels/drawing6.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7.xml.rels><?xml version="1.0" encoding="UTF-8" standalone="yes"?>
<Relationships xmlns="http://schemas.openxmlformats.org/package/2006/relationships"><Relationship Id="rId2" Type="http://schemas.openxmlformats.org/officeDocument/2006/relationships/hyperlink" Target="#'&#12513;&#12491;&#12517;&#12540;&#65325;&#65313;&#65328;&#65286;&#25805;&#20316;&#25163;&#38918;'!A1"/><Relationship Id="rId1" Type="http://schemas.openxmlformats.org/officeDocument/2006/relationships/image" Target="../media/image28.png"/></Relationships>
</file>

<file path=xl/drawings/_rels/drawing8.xml.rels><?xml version="1.0" encoding="UTF-8" standalone="yes"?>
<Relationships xmlns="http://schemas.openxmlformats.org/package/2006/relationships"><Relationship Id="rId1" Type="http://schemas.openxmlformats.org/officeDocument/2006/relationships/hyperlink" Target="#'&#12513;&#12491;&#12517;&#12540;&#65325;&#65313;&#65328;&#65286;&#25805;&#20316;&#25163;&#38918;'!A1"/></Relationships>
</file>

<file path=xl/drawings/_rels/drawing9.xml.rels><?xml version="1.0" encoding="UTF-8" standalone="yes"?>
<Relationships xmlns="http://schemas.openxmlformats.org/package/2006/relationships"><Relationship Id="rId2" Type="http://schemas.openxmlformats.org/officeDocument/2006/relationships/hyperlink" Target="#'&#12513;&#12491;&#12517;&#12540;&#65325;&#65313;&#65328;&#65286;&#25805;&#20316;&#25163;&#38918;'!A1"/><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57</xdr:row>
      <xdr:rowOff>123825</xdr:rowOff>
    </xdr:from>
    <xdr:to>
      <xdr:col>27</xdr:col>
      <xdr:colOff>628650</xdr:colOff>
      <xdr:row>64</xdr:row>
      <xdr:rowOff>28575</xdr:rowOff>
    </xdr:to>
    <xdr:pic>
      <xdr:nvPicPr>
        <xdr:cNvPr id="68" name="図 67">
          <a:extLst>
            <a:ext uri="{FF2B5EF4-FFF2-40B4-BE49-F238E27FC236}">
              <a16:creationId xmlns:a16="http://schemas.microsoft.com/office/drawing/2014/main" id="{E3334719-A4BE-43A2-91DE-1FA5B7AD7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3287375"/>
          <a:ext cx="1777365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217919</xdr:colOff>
      <xdr:row>5</xdr:row>
      <xdr:rowOff>0</xdr:rowOff>
    </xdr:from>
    <xdr:to>
      <xdr:col>17</xdr:col>
      <xdr:colOff>57978</xdr:colOff>
      <xdr:row>13</xdr:row>
      <xdr:rowOff>176615</xdr:rowOff>
    </xdr:to>
    <xdr:grpSp>
      <xdr:nvGrpSpPr>
        <xdr:cNvPr id="126" name="グループ化 125">
          <a:extLst>
            <a:ext uri="{FF2B5EF4-FFF2-40B4-BE49-F238E27FC236}">
              <a16:creationId xmlns:a16="http://schemas.microsoft.com/office/drawing/2014/main" id="{5D454A32-158A-0C31-A31D-3FB5A2836B1C}"/>
            </a:ext>
          </a:extLst>
        </xdr:cNvPr>
        <xdr:cNvGrpSpPr/>
      </xdr:nvGrpSpPr>
      <xdr:grpSpPr>
        <a:xfrm>
          <a:off x="355502" y="1926167"/>
          <a:ext cx="10423393" cy="2526115"/>
          <a:chOff x="588817" y="1056409"/>
          <a:chExt cx="10377448" cy="2513807"/>
        </a:xfrm>
      </xdr:grpSpPr>
      <xdr:grpSp>
        <xdr:nvGrpSpPr>
          <xdr:cNvPr id="194" name="グループ化 193">
            <a:extLst>
              <a:ext uri="{FF2B5EF4-FFF2-40B4-BE49-F238E27FC236}">
                <a16:creationId xmlns:a16="http://schemas.microsoft.com/office/drawing/2014/main" id="{6B5C012B-F32A-3D79-623B-1C33B92D21A7}"/>
              </a:ext>
            </a:extLst>
          </xdr:cNvPr>
          <xdr:cNvGrpSpPr/>
        </xdr:nvGrpSpPr>
        <xdr:grpSpPr>
          <a:xfrm>
            <a:off x="588817" y="1192631"/>
            <a:ext cx="10377448" cy="2377585"/>
            <a:chOff x="770323" y="1141429"/>
            <a:chExt cx="10344143" cy="2377585"/>
          </a:xfrm>
        </xdr:grpSpPr>
        <xdr:grpSp>
          <xdr:nvGrpSpPr>
            <xdr:cNvPr id="149" name="グループ化 148">
              <a:extLst>
                <a:ext uri="{FF2B5EF4-FFF2-40B4-BE49-F238E27FC236}">
                  <a16:creationId xmlns:a16="http://schemas.microsoft.com/office/drawing/2014/main" id="{FF1685A0-5FA8-4071-AAFB-DA32C9C7FB26}"/>
                </a:ext>
              </a:extLst>
            </xdr:cNvPr>
            <xdr:cNvGrpSpPr/>
          </xdr:nvGrpSpPr>
          <xdr:grpSpPr>
            <a:xfrm>
              <a:off x="770323" y="1141429"/>
              <a:ext cx="10344143" cy="2325864"/>
              <a:chOff x="268676" y="1017604"/>
              <a:chExt cx="10344143" cy="2325864"/>
            </a:xfrm>
          </xdr:grpSpPr>
          <xdr:sp macro="" textlink="">
            <xdr:nvSpPr>
              <xdr:cNvPr id="150" name="四角形: 角を丸くする 149">
                <a:hlinkClick xmlns:r="http://schemas.openxmlformats.org/officeDocument/2006/relationships" r:id="rId2"/>
                <a:extLst>
                  <a:ext uri="{FF2B5EF4-FFF2-40B4-BE49-F238E27FC236}">
                    <a16:creationId xmlns:a16="http://schemas.microsoft.com/office/drawing/2014/main" id="{5760E56C-7FCE-52E7-3E0A-BD5C12460FB5}"/>
                  </a:ext>
                </a:extLst>
              </xdr:cNvPr>
              <xdr:cNvSpPr/>
            </xdr:nvSpPr>
            <xdr:spPr>
              <a:xfrm>
                <a:off x="525049" y="1143000"/>
                <a:ext cx="1650684" cy="410400"/>
              </a:xfrm>
              <a:prstGeom prst="roundRect">
                <a:avLst/>
              </a:prstGeom>
              <a:solidFill>
                <a:srgbClr val="FF00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６．使用上の注意</a:t>
                </a:r>
                <a:endParaRPr kumimoji="1" lang="ja-JP" altLang="en-US" sz="1200" b="1">
                  <a:solidFill>
                    <a:schemeClr val="bg1"/>
                  </a:solidFill>
                  <a:latin typeface="游ゴシック Medium" panose="020B0500000000000000" pitchFamily="50" charset="-128"/>
                  <a:ea typeface="游ゴシック Medium" panose="020B0500000000000000" pitchFamily="50" charset="-128"/>
                </a:endParaRPr>
              </a:p>
            </xdr:txBody>
          </xdr:sp>
          <xdr:sp macro="" textlink="">
            <xdr:nvSpPr>
              <xdr:cNvPr id="151" name="矢印: 折線 150">
                <a:extLst>
                  <a:ext uri="{FF2B5EF4-FFF2-40B4-BE49-F238E27FC236}">
                    <a16:creationId xmlns:a16="http://schemas.microsoft.com/office/drawing/2014/main" id="{6680616B-6A71-37DE-8DAA-9F5A13155965}"/>
                  </a:ext>
                </a:extLst>
              </xdr:cNvPr>
              <xdr:cNvSpPr/>
            </xdr:nvSpPr>
            <xdr:spPr>
              <a:xfrm rot="14127606" flipH="1">
                <a:off x="281764" y="1053970"/>
                <a:ext cx="221581" cy="247757"/>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solidFill>
                    <a:schemeClr val="tx1"/>
                  </a:solidFill>
                  <a:latin typeface="游ゴシック Medium" panose="020B0500000000000000" pitchFamily="50" charset="-128"/>
                  <a:ea typeface="游ゴシック Medium" panose="020B0500000000000000" pitchFamily="50" charset="-128"/>
                </a:endParaRPr>
              </a:p>
            </xdr:txBody>
          </xdr:sp>
          <xdr:grpSp>
            <xdr:nvGrpSpPr>
              <xdr:cNvPr id="152" name="グループ化 151">
                <a:extLst>
                  <a:ext uri="{FF2B5EF4-FFF2-40B4-BE49-F238E27FC236}">
                    <a16:creationId xmlns:a16="http://schemas.microsoft.com/office/drawing/2014/main" id="{0B6F2155-3983-F8A7-1B23-389B925DBD33}"/>
                  </a:ext>
                </a:extLst>
              </xdr:cNvPr>
              <xdr:cNvGrpSpPr/>
            </xdr:nvGrpSpPr>
            <xdr:grpSpPr>
              <a:xfrm>
                <a:off x="2419352" y="1017604"/>
                <a:ext cx="8193467" cy="2325864"/>
                <a:chOff x="2419352" y="1017604"/>
                <a:chExt cx="8193467" cy="2325864"/>
              </a:xfrm>
            </xdr:grpSpPr>
            <xdr:sp macro="" textlink="">
              <xdr:nvSpPr>
                <xdr:cNvPr id="154" name="四角形: 角を丸くする 153">
                  <a:hlinkClick xmlns:r="http://schemas.openxmlformats.org/officeDocument/2006/relationships" r:id="rId3"/>
                  <a:extLst>
                    <a:ext uri="{FF2B5EF4-FFF2-40B4-BE49-F238E27FC236}">
                      <a16:creationId xmlns:a16="http://schemas.microsoft.com/office/drawing/2014/main" id="{C9F76492-5077-39B4-BE94-3D2951786FF9}"/>
                    </a:ext>
                  </a:extLst>
                </xdr:cNvPr>
                <xdr:cNvSpPr/>
              </xdr:nvSpPr>
              <xdr:spPr>
                <a:xfrm>
                  <a:off x="2666999" y="1748271"/>
                  <a:ext cx="2520000" cy="410400"/>
                </a:xfrm>
                <a:prstGeom prst="roundRect">
                  <a:avLst/>
                </a:prstGeom>
                <a:solidFill>
                  <a:srgbClr val="0000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２．保険料・地方税等入力画面</a:t>
                  </a:r>
                  <a:endParaRPr kumimoji="1" lang="ja-JP" altLang="en-US" sz="1200" b="1">
                    <a:solidFill>
                      <a:schemeClr val="bg1"/>
                    </a:solidFill>
                    <a:latin typeface="游ゴシック Medium" panose="020B0500000000000000" pitchFamily="50" charset="-128"/>
                    <a:ea typeface="游ゴシック Medium" panose="020B0500000000000000" pitchFamily="50" charset="-128"/>
                  </a:endParaRPr>
                </a:p>
              </xdr:txBody>
            </xdr:sp>
            <xdr:sp macro="" textlink="">
              <xdr:nvSpPr>
                <xdr:cNvPr id="160" name="四角形: 角を丸くする 159">
                  <a:hlinkClick xmlns:r="http://schemas.openxmlformats.org/officeDocument/2006/relationships" r:id="rId4"/>
                  <a:extLst>
                    <a:ext uri="{FF2B5EF4-FFF2-40B4-BE49-F238E27FC236}">
                      <a16:creationId xmlns:a16="http://schemas.microsoft.com/office/drawing/2014/main" id="{1000DE65-D956-2FAC-405C-E80594DC1BA7}"/>
                    </a:ext>
                  </a:extLst>
                </xdr:cNvPr>
                <xdr:cNvSpPr/>
              </xdr:nvSpPr>
              <xdr:spPr>
                <a:xfrm>
                  <a:off x="8453294" y="1154256"/>
                  <a:ext cx="2159525" cy="711052"/>
                </a:xfrm>
                <a:prstGeom prst="roundRect">
                  <a:avLst/>
                </a:prstGeom>
                <a:solidFill>
                  <a:srgbClr val="99FFCC">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５</a:t>
                  </a:r>
                  <a:r>
                    <a:rPr kumimoji="1" lang="en-US" altLang="ja-JP"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１．併用メニュー</a:t>
                  </a:r>
                  <a:endParaRPr kumimoji="1" lang="en-US" altLang="ja-JP"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endParaRPr>
                </a:p>
                <a:p>
                  <a:pPr algn="l"/>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　　　（２年目）</a:t>
                  </a:r>
                  <a:endParaRPr kumimoji="1" lang="ja-JP" altLang="en-US" sz="1200" b="1">
                    <a:solidFill>
                      <a:schemeClr val="tx1"/>
                    </a:solidFill>
                    <a:latin typeface="游ゴシック Medium" panose="020B0500000000000000" pitchFamily="50" charset="-128"/>
                    <a:ea typeface="游ゴシック Medium" panose="020B0500000000000000" pitchFamily="50" charset="-128"/>
                  </a:endParaRPr>
                </a:p>
              </xdr:txBody>
            </xdr:sp>
            <xdr:sp macro="" textlink="">
              <xdr:nvSpPr>
                <xdr:cNvPr id="162" name="四角形: 角を丸くする 161">
                  <a:hlinkClick xmlns:r="http://schemas.openxmlformats.org/officeDocument/2006/relationships" r:id="rId5"/>
                  <a:extLst>
                    <a:ext uri="{FF2B5EF4-FFF2-40B4-BE49-F238E27FC236}">
                      <a16:creationId xmlns:a16="http://schemas.microsoft.com/office/drawing/2014/main" id="{A7F81CCF-E9AD-F5AA-ED5B-DDA668A45D29}"/>
                    </a:ext>
                  </a:extLst>
                </xdr:cNvPr>
                <xdr:cNvSpPr/>
              </xdr:nvSpPr>
              <xdr:spPr>
                <a:xfrm>
                  <a:off x="8453294" y="2009606"/>
                  <a:ext cx="2153066" cy="692881"/>
                </a:xfrm>
                <a:prstGeom prst="roundRect">
                  <a:avLst/>
                </a:prstGeom>
                <a:solidFill>
                  <a:srgbClr val="99FFCC">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spAutoFit/>
                </a:bodyPr>
                <a:lstStyle/>
                <a:p>
                  <a:pPr algn="l"/>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５</a:t>
                  </a:r>
                  <a:r>
                    <a:rPr kumimoji="1" lang="en-US" altLang="ja-JP"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２．併用メニュー</a:t>
                  </a:r>
                  <a:endParaRPr kumimoji="1" lang="en-US" altLang="ja-JP"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endParaRPr>
                </a:p>
                <a:p>
                  <a:pPr algn="l"/>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　　お知らせ（２年目）</a:t>
                  </a:r>
                  <a:endParaRPr kumimoji="1" lang="ja-JP" altLang="en-US" sz="1200" b="1">
                    <a:solidFill>
                      <a:schemeClr val="tx1"/>
                    </a:solidFill>
                    <a:latin typeface="游ゴシック Medium" panose="020B0500000000000000" pitchFamily="50" charset="-128"/>
                    <a:ea typeface="游ゴシック Medium" panose="020B0500000000000000" pitchFamily="50" charset="-128"/>
                  </a:endParaRPr>
                </a:p>
              </xdr:txBody>
            </xdr:sp>
            <xdr:sp macro="" textlink="">
              <xdr:nvSpPr>
                <xdr:cNvPr id="163" name="四角形: 角を丸くする 162">
                  <a:hlinkClick xmlns:r="http://schemas.openxmlformats.org/officeDocument/2006/relationships" r:id="rId6"/>
                  <a:extLst>
                    <a:ext uri="{FF2B5EF4-FFF2-40B4-BE49-F238E27FC236}">
                      <a16:creationId xmlns:a16="http://schemas.microsoft.com/office/drawing/2014/main" id="{CA0313FC-BAEF-5D5B-1B87-21557C69818E}"/>
                    </a:ext>
                  </a:extLst>
                </xdr:cNvPr>
                <xdr:cNvSpPr/>
              </xdr:nvSpPr>
              <xdr:spPr>
                <a:xfrm>
                  <a:off x="2657475" y="1143000"/>
                  <a:ext cx="2520000" cy="410400"/>
                </a:xfrm>
                <a:prstGeom prst="roundRect">
                  <a:avLst/>
                </a:prstGeom>
                <a:solidFill>
                  <a:srgbClr val="FF99CC">
                    <a:alpha val="96863"/>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１．従業員データ入力画面</a:t>
                  </a:r>
                  <a:endPar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endParaRPr>
                </a:p>
              </xdr:txBody>
            </xdr:sp>
            <xdr:grpSp>
              <xdr:nvGrpSpPr>
                <xdr:cNvPr id="164" name="グループ化 163">
                  <a:extLst>
                    <a:ext uri="{FF2B5EF4-FFF2-40B4-BE49-F238E27FC236}">
                      <a16:creationId xmlns:a16="http://schemas.microsoft.com/office/drawing/2014/main" id="{2C37BB70-4FED-5D3C-C32A-F7ED81DD110F}"/>
                    </a:ext>
                  </a:extLst>
                </xdr:cNvPr>
                <xdr:cNvGrpSpPr/>
              </xdr:nvGrpSpPr>
              <xdr:grpSpPr>
                <a:xfrm>
                  <a:off x="2419352" y="1019928"/>
                  <a:ext cx="228597" cy="2323540"/>
                  <a:chOff x="2409827" y="1019928"/>
                  <a:chExt cx="228597" cy="2323540"/>
                </a:xfrm>
              </xdr:grpSpPr>
              <xdr:sp macro="" textlink="">
                <xdr:nvSpPr>
                  <xdr:cNvPr id="176" name="矢印: 折線 175">
                    <a:extLst>
                      <a:ext uri="{FF2B5EF4-FFF2-40B4-BE49-F238E27FC236}">
                        <a16:creationId xmlns:a16="http://schemas.microsoft.com/office/drawing/2014/main" id="{1763721A-DA80-336C-0821-259171C0E511}"/>
                      </a:ext>
                    </a:extLst>
                  </xdr:cNvPr>
                  <xdr:cNvSpPr/>
                </xdr:nvSpPr>
                <xdr:spPr>
                  <a:xfrm rot="16200000" flipH="1">
                    <a:off x="1356057" y="2073698"/>
                    <a:ext cx="2323540" cy="216000"/>
                  </a:xfrm>
                  <a:prstGeom prst="bentArrow">
                    <a:avLst>
                      <a:gd name="adj1" fmla="val 25000"/>
                      <a:gd name="adj2" fmla="val 40385"/>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solidFill>
                        <a:schemeClr val="tx1"/>
                      </a:solidFill>
                      <a:latin typeface="游ゴシック Medium" panose="020B0500000000000000" pitchFamily="50" charset="-128"/>
                      <a:ea typeface="游ゴシック Medium" panose="020B0500000000000000" pitchFamily="50" charset="-128"/>
                    </a:endParaRPr>
                  </a:p>
                </xdr:txBody>
              </xdr:sp>
              <xdr:sp macro="" textlink="">
                <xdr:nvSpPr>
                  <xdr:cNvPr id="177" name="正方形/長方形 176">
                    <a:extLst>
                      <a:ext uri="{FF2B5EF4-FFF2-40B4-BE49-F238E27FC236}">
                        <a16:creationId xmlns:a16="http://schemas.microsoft.com/office/drawing/2014/main" id="{6D415DFF-DDE3-62C2-A494-EEA1000CBAE5}"/>
                      </a:ext>
                    </a:extLst>
                  </xdr:cNvPr>
                  <xdr:cNvSpPr/>
                </xdr:nvSpPr>
                <xdr:spPr>
                  <a:xfrm>
                    <a:off x="2514599" y="1304926"/>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78" name="正方形/長方形 177">
                    <a:extLst>
                      <a:ext uri="{FF2B5EF4-FFF2-40B4-BE49-F238E27FC236}">
                        <a16:creationId xmlns:a16="http://schemas.microsoft.com/office/drawing/2014/main" id="{7932FF34-E14C-478A-092E-48F04CDAEEEA}"/>
                      </a:ext>
                    </a:extLst>
                  </xdr:cNvPr>
                  <xdr:cNvSpPr/>
                </xdr:nvSpPr>
                <xdr:spPr>
                  <a:xfrm>
                    <a:off x="2524124" y="1981201"/>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grpSp>
            <xdr:grpSp>
              <xdr:nvGrpSpPr>
                <xdr:cNvPr id="165" name="グループ化 164">
                  <a:extLst>
                    <a:ext uri="{FF2B5EF4-FFF2-40B4-BE49-F238E27FC236}">
                      <a16:creationId xmlns:a16="http://schemas.microsoft.com/office/drawing/2014/main" id="{954E172C-F748-4E4A-AAE0-C0FA35077A02}"/>
                    </a:ext>
                  </a:extLst>
                </xdr:cNvPr>
                <xdr:cNvGrpSpPr/>
              </xdr:nvGrpSpPr>
              <xdr:grpSpPr>
                <a:xfrm>
                  <a:off x="8319946" y="1472943"/>
                  <a:ext cx="123819" cy="920131"/>
                  <a:chOff x="5986321" y="1539617"/>
                  <a:chExt cx="123819" cy="920131"/>
                </a:xfrm>
              </xdr:grpSpPr>
              <xdr:sp macro="" textlink="">
                <xdr:nvSpPr>
                  <xdr:cNvPr id="173" name="正方形/長方形 172">
                    <a:extLst>
                      <a:ext uri="{FF2B5EF4-FFF2-40B4-BE49-F238E27FC236}">
                        <a16:creationId xmlns:a16="http://schemas.microsoft.com/office/drawing/2014/main" id="{0644C7DE-2F2F-8AB6-2DD6-C63A2820B83D}"/>
                      </a:ext>
                    </a:extLst>
                  </xdr:cNvPr>
                  <xdr:cNvSpPr/>
                </xdr:nvSpPr>
                <xdr:spPr>
                  <a:xfrm>
                    <a:off x="5986321" y="1539617"/>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74" name="正方形/長方形 173">
                    <a:extLst>
                      <a:ext uri="{FF2B5EF4-FFF2-40B4-BE49-F238E27FC236}">
                        <a16:creationId xmlns:a16="http://schemas.microsoft.com/office/drawing/2014/main" id="{F41D3002-63AE-0CAF-D2F2-F19E734226B5}"/>
                      </a:ext>
                    </a:extLst>
                  </xdr:cNvPr>
                  <xdr:cNvSpPr/>
                </xdr:nvSpPr>
                <xdr:spPr>
                  <a:xfrm>
                    <a:off x="5995840" y="2402598"/>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grpSp>
            <xdr:grpSp>
              <xdr:nvGrpSpPr>
                <xdr:cNvPr id="166" name="グループ化 165">
                  <a:extLst>
                    <a:ext uri="{FF2B5EF4-FFF2-40B4-BE49-F238E27FC236}">
                      <a16:creationId xmlns:a16="http://schemas.microsoft.com/office/drawing/2014/main" id="{98949297-859D-0804-F706-DCB652498D71}"/>
                    </a:ext>
                  </a:extLst>
                </xdr:cNvPr>
                <xdr:cNvGrpSpPr/>
              </xdr:nvGrpSpPr>
              <xdr:grpSpPr>
                <a:xfrm>
                  <a:off x="5339777" y="1017604"/>
                  <a:ext cx="3077749" cy="2268605"/>
                  <a:chOff x="3006153" y="998555"/>
                  <a:chExt cx="3077749" cy="2268605"/>
                </a:xfrm>
              </xdr:grpSpPr>
              <xdr:sp macro="" textlink="">
                <xdr:nvSpPr>
                  <xdr:cNvPr id="118" name="矢印: 折線 117">
                    <a:extLst>
                      <a:ext uri="{FF2B5EF4-FFF2-40B4-BE49-F238E27FC236}">
                        <a16:creationId xmlns:a16="http://schemas.microsoft.com/office/drawing/2014/main" id="{9755CAD9-4E11-583C-C934-2887B5E66C0F}"/>
                      </a:ext>
                    </a:extLst>
                  </xdr:cNvPr>
                  <xdr:cNvSpPr/>
                </xdr:nvSpPr>
                <xdr:spPr>
                  <a:xfrm rot="16200000" flipH="1">
                    <a:off x="1996506" y="2009774"/>
                    <a:ext cx="2267033" cy="247739"/>
                  </a:xfrm>
                  <a:prstGeom prst="bentArrow">
                    <a:avLst>
                      <a:gd name="adj1" fmla="val 25000"/>
                      <a:gd name="adj2" fmla="val 40385"/>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solidFill>
                        <a:schemeClr val="tx1"/>
                      </a:solidFill>
                      <a:latin typeface="游ゴシック Medium" panose="020B0500000000000000" pitchFamily="50" charset="-128"/>
                      <a:ea typeface="游ゴシック Medium" panose="020B0500000000000000" pitchFamily="50" charset="-128"/>
                    </a:endParaRPr>
                  </a:p>
                </xdr:txBody>
              </xdr:sp>
              <xdr:sp macro="" textlink="">
                <xdr:nvSpPr>
                  <xdr:cNvPr id="121" name="正方形/長方形 120">
                    <a:extLst>
                      <a:ext uri="{FF2B5EF4-FFF2-40B4-BE49-F238E27FC236}">
                        <a16:creationId xmlns:a16="http://schemas.microsoft.com/office/drawing/2014/main" id="{766B82CA-E2F6-AED4-10E3-56B459F337FD}"/>
                      </a:ext>
                    </a:extLst>
                  </xdr:cNvPr>
                  <xdr:cNvSpPr/>
                </xdr:nvSpPr>
                <xdr:spPr>
                  <a:xfrm>
                    <a:off x="3120449" y="2953413"/>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23" name="正方形/長方形 122">
                    <a:extLst>
                      <a:ext uri="{FF2B5EF4-FFF2-40B4-BE49-F238E27FC236}">
                        <a16:creationId xmlns:a16="http://schemas.microsoft.com/office/drawing/2014/main" id="{5A69417F-96CD-9CF7-3949-9C5539C92FA6}"/>
                      </a:ext>
                    </a:extLst>
                  </xdr:cNvPr>
                  <xdr:cNvSpPr/>
                </xdr:nvSpPr>
                <xdr:spPr>
                  <a:xfrm>
                    <a:off x="3119590" y="1294535"/>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24" name="正方形/長方形 123">
                    <a:extLst>
                      <a:ext uri="{FF2B5EF4-FFF2-40B4-BE49-F238E27FC236}">
                        <a16:creationId xmlns:a16="http://schemas.microsoft.com/office/drawing/2014/main" id="{05D304A5-CC15-6D56-E02B-4BCF1C91C85B}"/>
                      </a:ext>
                    </a:extLst>
                  </xdr:cNvPr>
                  <xdr:cNvSpPr/>
                </xdr:nvSpPr>
                <xdr:spPr>
                  <a:xfrm>
                    <a:off x="3104863" y="2098024"/>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45" name="矢印: 折線 144">
                    <a:extLst>
                      <a:ext uri="{FF2B5EF4-FFF2-40B4-BE49-F238E27FC236}">
                        <a16:creationId xmlns:a16="http://schemas.microsoft.com/office/drawing/2014/main" id="{D65E18CB-7A76-DB1D-82A0-D19BEE2A664C}"/>
                      </a:ext>
                    </a:extLst>
                  </xdr:cNvPr>
                  <xdr:cNvSpPr/>
                </xdr:nvSpPr>
                <xdr:spPr>
                  <a:xfrm rot="16200000" flipH="1">
                    <a:off x="5168595" y="1713835"/>
                    <a:ext cx="1630587" cy="200027"/>
                  </a:xfrm>
                  <a:prstGeom prst="bentArrow">
                    <a:avLst>
                      <a:gd name="adj1" fmla="val 25000"/>
                      <a:gd name="adj2" fmla="val 40385"/>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solidFill>
                        <a:schemeClr val="tx1"/>
                      </a:solidFill>
                      <a:latin typeface="游ゴシック Medium" panose="020B0500000000000000" pitchFamily="50" charset="-128"/>
                      <a:ea typeface="游ゴシック Medium" panose="020B0500000000000000" pitchFamily="50" charset="-128"/>
                    </a:endParaRPr>
                  </a:p>
                </xdr:txBody>
              </xdr:sp>
            </xdr:grpSp>
            <xdr:sp macro="" textlink="">
              <xdr:nvSpPr>
                <xdr:cNvPr id="117" name="四角形: 角を丸くする 116">
                  <a:hlinkClick xmlns:r="http://schemas.openxmlformats.org/officeDocument/2006/relationships" r:id="rId7"/>
                  <a:extLst>
                    <a:ext uri="{FF2B5EF4-FFF2-40B4-BE49-F238E27FC236}">
                      <a16:creationId xmlns:a16="http://schemas.microsoft.com/office/drawing/2014/main" id="{29175F60-DFCB-E014-6623-BED78D4F9457}"/>
                    </a:ext>
                  </a:extLst>
                </xdr:cNvPr>
                <xdr:cNvSpPr/>
              </xdr:nvSpPr>
              <xdr:spPr>
                <a:xfrm>
                  <a:off x="5568375" y="1780513"/>
                  <a:ext cx="2272715" cy="711052"/>
                </a:xfrm>
                <a:prstGeom prst="roundRect">
                  <a:avLst/>
                </a:prstGeom>
                <a:solidFill>
                  <a:srgbClr val="FF66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４</a:t>
                  </a:r>
                  <a:r>
                    <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１．手当等支給メニュー</a:t>
                  </a:r>
                  <a:endPar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endParaRPr>
                </a:p>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　　　（１年目）</a:t>
                  </a:r>
                  <a:endParaRPr kumimoji="1" lang="ja-JP" altLang="en-US" sz="1200" b="1">
                    <a:solidFill>
                      <a:schemeClr val="bg1"/>
                    </a:solidFill>
                    <a:latin typeface="游ゴシック Medium" panose="020B0500000000000000" pitchFamily="50" charset="-128"/>
                    <a:ea typeface="游ゴシック Medium" panose="020B0500000000000000" pitchFamily="50" charset="-128"/>
                  </a:endParaRPr>
                </a:p>
              </xdr:txBody>
            </xdr:sp>
          </xdr:grpSp>
        </xdr:grpSp>
        <xdr:sp macro="" textlink="">
          <xdr:nvSpPr>
            <xdr:cNvPr id="187" name="四角形: 角を丸くする 186">
              <a:hlinkClick xmlns:r="http://schemas.openxmlformats.org/officeDocument/2006/relationships" r:id="rId8"/>
              <a:extLst>
                <a:ext uri="{FF2B5EF4-FFF2-40B4-BE49-F238E27FC236}">
                  <a16:creationId xmlns:a16="http://schemas.microsoft.com/office/drawing/2014/main" id="{2C9975F7-F8FF-4660-BDDB-5E6BE5D8EE78}"/>
                </a:ext>
              </a:extLst>
            </xdr:cNvPr>
            <xdr:cNvSpPr/>
          </xdr:nvSpPr>
          <xdr:spPr>
            <a:xfrm>
              <a:off x="3169023" y="2528455"/>
              <a:ext cx="2520000"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３</a:t>
              </a:r>
              <a:r>
                <a:rPr kumimoji="1" lang="en-US" altLang="ja-JP"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１．標準報酬月額・保険料表</a:t>
              </a:r>
              <a:endParaRPr kumimoji="1" lang="ja-JP" altLang="en-US" sz="1200" b="1">
                <a:solidFill>
                  <a:schemeClr val="tx1"/>
                </a:solidFill>
                <a:latin typeface="游ゴシック Medium" panose="020B0500000000000000" pitchFamily="50" charset="-128"/>
                <a:ea typeface="游ゴシック Medium" panose="020B0500000000000000" pitchFamily="50" charset="-128"/>
              </a:endParaRPr>
            </a:p>
          </xdr:txBody>
        </xdr:sp>
        <xdr:sp macro="" textlink="">
          <xdr:nvSpPr>
            <xdr:cNvPr id="188" name="四角形: 角を丸くする 187">
              <a:hlinkClick xmlns:r="http://schemas.openxmlformats.org/officeDocument/2006/relationships" r:id="rId9"/>
              <a:extLst>
                <a:ext uri="{FF2B5EF4-FFF2-40B4-BE49-F238E27FC236}">
                  <a16:creationId xmlns:a16="http://schemas.microsoft.com/office/drawing/2014/main" id="{71E7D615-CFA5-42FC-B593-BEB31B28D7CE}"/>
                </a:ext>
              </a:extLst>
            </xdr:cNvPr>
            <xdr:cNvSpPr/>
          </xdr:nvSpPr>
          <xdr:spPr>
            <a:xfrm>
              <a:off x="3177682" y="3108614"/>
              <a:ext cx="2520000"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３</a:t>
              </a:r>
              <a:r>
                <a:rPr kumimoji="1" lang="en-US" altLang="ja-JP"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２．所得算出の参照表</a:t>
              </a:r>
              <a:endParaRPr kumimoji="1" lang="ja-JP" altLang="en-US" sz="1200" b="1">
                <a:solidFill>
                  <a:schemeClr val="tx1"/>
                </a:solidFill>
                <a:latin typeface="游ゴシック Medium" panose="020B0500000000000000" pitchFamily="50" charset="-128"/>
                <a:ea typeface="游ゴシック Medium" panose="020B0500000000000000" pitchFamily="50" charset="-128"/>
              </a:endParaRPr>
            </a:p>
          </xdr:txBody>
        </xdr:sp>
        <xdr:sp macro="" textlink="">
          <xdr:nvSpPr>
            <xdr:cNvPr id="192" name="正方形/長方形 191">
              <a:extLst>
                <a:ext uri="{FF2B5EF4-FFF2-40B4-BE49-F238E27FC236}">
                  <a16:creationId xmlns:a16="http://schemas.microsoft.com/office/drawing/2014/main" id="{5B5D078A-5440-43C7-AC06-386463BB0864}"/>
                </a:ext>
              </a:extLst>
            </xdr:cNvPr>
            <xdr:cNvSpPr/>
          </xdr:nvSpPr>
          <xdr:spPr>
            <a:xfrm>
              <a:off x="3048000" y="3276601"/>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sp macro="" textlink="">
          <xdr:nvSpPr>
            <xdr:cNvPr id="193" name="正方形/長方形 192">
              <a:extLst>
                <a:ext uri="{FF2B5EF4-FFF2-40B4-BE49-F238E27FC236}">
                  <a16:creationId xmlns:a16="http://schemas.microsoft.com/office/drawing/2014/main" id="{7BC30917-212C-4666-9181-11028BE4D826}"/>
                </a:ext>
              </a:extLst>
            </xdr:cNvPr>
            <xdr:cNvSpPr/>
          </xdr:nvSpPr>
          <xdr:spPr>
            <a:xfrm>
              <a:off x="3046270" y="2713759"/>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latin typeface="游ゴシック Medium" panose="020B0500000000000000" pitchFamily="50" charset="-128"/>
                <a:ea typeface="游ゴシック Medium" panose="020B0500000000000000" pitchFamily="50" charset="-128"/>
              </a:endParaRPr>
            </a:p>
          </xdr:txBody>
        </xdr:sp>
      </xdr:grpSp>
      <xdr:sp macro="" textlink="">
        <xdr:nvSpPr>
          <xdr:cNvPr id="4097" name="Text Box 1">
            <a:extLst>
              <a:ext uri="{FF2B5EF4-FFF2-40B4-BE49-F238E27FC236}">
                <a16:creationId xmlns:a16="http://schemas.microsoft.com/office/drawing/2014/main" id="{C393B46D-CF8F-9972-015E-94C0AA5D5830}"/>
              </a:ext>
            </a:extLst>
          </xdr:cNvPr>
          <xdr:cNvSpPr txBox="1">
            <a:spLocks noChangeArrowheads="1"/>
          </xdr:cNvSpPr>
        </xdr:nvSpPr>
        <xdr:spPr bwMode="auto">
          <a:xfrm>
            <a:off x="3022023" y="1073728"/>
            <a:ext cx="2242663" cy="233796"/>
          </a:xfrm>
          <a:prstGeom prst="rect">
            <a:avLst/>
          </a:prstGeom>
          <a:solidFill>
            <a:srgbClr val="FFFFFF"/>
          </a:solidFill>
          <a:ln w="9525">
            <a:solidFill>
              <a:schemeClr val="bg1"/>
            </a:solidFill>
            <a:miter lim="800000"/>
            <a:headEnd/>
            <a:tailEnd/>
          </a:ln>
        </xdr:spPr>
        <xdr:txBody>
          <a:bodyPr vertOverflow="clip" wrap="square" lIns="27432" tIns="18288" rIns="0" bIns="0" anchor="t" upright="1"/>
          <a:lstStyle/>
          <a:p>
            <a:pPr algn="l" rtl="0">
              <a:lnSpc>
                <a:spcPts val="1300"/>
              </a:lnSpc>
              <a:defRPr sz="1000"/>
            </a:pPr>
            <a:r>
              <a:rPr lang="ja-JP" altLang="en-US" sz="1100" b="1" i="0" u="sng" strike="noStrike" baseline="0">
                <a:solidFill>
                  <a:srgbClr val="000000"/>
                </a:solidFill>
                <a:latin typeface="游ゴシック Medium" panose="020B0500000000000000" pitchFamily="50" charset="-128"/>
                <a:ea typeface="游ゴシック Medium" panose="020B0500000000000000" pitchFamily="50" charset="-128"/>
              </a:rPr>
              <a:t>クリックして各シートにジャンプ</a:t>
            </a:r>
          </a:p>
        </xdr:txBody>
      </xdr:sp>
      <xdr:sp macro="" textlink="">
        <xdr:nvSpPr>
          <xdr:cNvPr id="120" name="Text Box 1">
            <a:extLst>
              <a:ext uri="{FF2B5EF4-FFF2-40B4-BE49-F238E27FC236}">
                <a16:creationId xmlns:a16="http://schemas.microsoft.com/office/drawing/2014/main" id="{A8815BC1-84E5-4B4B-B716-EC4CB2B07EDC}"/>
              </a:ext>
            </a:extLst>
          </xdr:cNvPr>
          <xdr:cNvSpPr txBox="1">
            <a:spLocks noChangeArrowheads="1"/>
          </xdr:cNvSpPr>
        </xdr:nvSpPr>
        <xdr:spPr bwMode="auto">
          <a:xfrm>
            <a:off x="5914159" y="1056409"/>
            <a:ext cx="2238447" cy="233796"/>
          </a:xfrm>
          <a:prstGeom prst="rect">
            <a:avLst/>
          </a:prstGeom>
          <a:solidFill>
            <a:srgbClr val="FFFFFF"/>
          </a:solidFill>
          <a:ln w="9525">
            <a:solidFill>
              <a:schemeClr val="bg1"/>
            </a:solidFill>
            <a:miter lim="800000"/>
            <a:headEnd/>
            <a:tailEnd/>
          </a:ln>
        </xdr:spPr>
        <xdr:txBody>
          <a:bodyPr vertOverflow="clip" wrap="square" lIns="27432" tIns="18288" rIns="0" bIns="0" anchor="t" upright="1"/>
          <a:lstStyle/>
          <a:p>
            <a:pPr algn="l" rtl="0">
              <a:lnSpc>
                <a:spcPts val="1300"/>
              </a:lnSpc>
              <a:defRPr sz="1000"/>
            </a:pPr>
            <a:r>
              <a:rPr lang="ja-JP" altLang="en-US" sz="1100" b="1" i="0" u="sng" strike="noStrike" baseline="0">
                <a:solidFill>
                  <a:srgbClr val="000000"/>
                </a:solidFill>
                <a:latin typeface="游ゴシック Medium" panose="020B0500000000000000" pitchFamily="50" charset="-128"/>
                <a:ea typeface="游ゴシック Medium" panose="020B0500000000000000" pitchFamily="50" charset="-128"/>
              </a:rPr>
              <a:t>クリックして各シートにジャンプ</a:t>
            </a:r>
          </a:p>
        </xdr:txBody>
      </xdr:sp>
      <xdr:sp macro="" textlink="">
        <xdr:nvSpPr>
          <xdr:cNvPr id="125" name="Text Box 1">
            <a:extLst>
              <a:ext uri="{FF2B5EF4-FFF2-40B4-BE49-F238E27FC236}">
                <a16:creationId xmlns:a16="http://schemas.microsoft.com/office/drawing/2014/main" id="{82D8586F-7BE3-4068-BFA7-087CF81DA3F7}"/>
              </a:ext>
            </a:extLst>
          </xdr:cNvPr>
          <xdr:cNvSpPr txBox="1">
            <a:spLocks noChangeArrowheads="1"/>
          </xdr:cNvSpPr>
        </xdr:nvSpPr>
        <xdr:spPr bwMode="auto">
          <a:xfrm>
            <a:off x="8751456" y="1056409"/>
            <a:ext cx="2206558" cy="233796"/>
          </a:xfrm>
          <a:prstGeom prst="rect">
            <a:avLst/>
          </a:prstGeom>
          <a:solidFill>
            <a:srgbClr val="FFFFFF"/>
          </a:solidFill>
          <a:ln w="9525">
            <a:solidFill>
              <a:schemeClr val="bg1"/>
            </a:solidFill>
            <a:miter lim="800000"/>
            <a:headEnd/>
            <a:tailEnd/>
          </a:ln>
        </xdr:spPr>
        <xdr:txBody>
          <a:bodyPr vertOverflow="clip" wrap="square" lIns="27432" tIns="18288" rIns="0" bIns="0" anchor="t" upright="1"/>
          <a:lstStyle/>
          <a:p>
            <a:pPr algn="l" rtl="0">
              <a:lnSpc>
                <a:spcPts val="1300"/>
              </a:lnSpc>
              <a:defRPr sz="1000"/>
            </a:pPr>
            <a:r>
              <a:rPr lang="ja-JP" altLang="en-US" sz="1100" b="1" i="0" u="sng" strike="noStrike" baseline="0">
                <a:solidFill>
                  <a:srgbClr val="000000"/>
                </a:solidFill>
                <a:latin typeface="游ゴシック Medium" panose="020B0500000000000000" pitchFamily="50" charset="-128"/>
                <a:ea typeface="游ゴシック Medium" panose="020B0500000000000000" pitchFamily="50" charset="-128"/>
              </a:rPr>
              <a:t>クリックして各シートにジャンプ</a:t>
            </a:r>
          </a:p>
        </xdr:txBody>
      </xdr:sp>
    </xdr:grpSp>
    <xdr:clientData/>
  </xdr:twoCellAnchor>
  <mc:AlternateContent xmlns:mc="http://schemas.openxmlformats.org/markup-compatibility/2006">
    <mc:Choice xmlns:a14="http://schemas.microsoft.com/office/drawing/2010/main" Requires="a14">
      <xdr:twoCellAnchor editAs="oneCell">
        <xdr:from>
          <xdr:col>2</xdr:col>
          <xdr:colOff>450273</xdr:colOff>
          <xdr:row>79</xdr:row>
          <xdr:rowOff>0</xdr:rowOff>
        </xdr:from>
        <xdr:to>
          <xdr:col>6</xdr:col>
          <xdr:colOff>303068</xdr:colOff>
          <xdr:row>81</xdr:row>
          <xdr:rowOff>221925</xdr:rowOff>
        </xdr:to>
        <xdr:pic>
          <xdr:nvPicPr>
            <xdr:cNvPr id="4096" name="図 4095">
              <a:extLst>
                <a:ext uri="{FF2B5EF4-FFF2-40B4-BE49-F238E27FC236}">
                  <a16:creationId xmlns:a16="http://schemas.microsoft.com/office/drawing/2014/main" id="{0F2B6A81-BBD2-D7E6-2C1C-687385D03068}"/>
                </a:ext>
              </a:extLst>
            </xdr:cNvPr>
            <xdr:cNvPicPr>
              <a:picLocks noChangeAspect="1" noChangeArrowheads="1"/>
              <a:extLst>
                <a:ext uri="{84589F7E-364E-4C9E-8A38-B11213B215E9}">
                  <a14:cameraTool cellRange="'2-2.保険料・地方税等入力画面'!$C$5:$E$6" spid="_x0000_s17444"/>
                </a:ext>
              </a:extLst>
            </xdr:cNvPicPr>
          </xdr:nvPicPr>
          <xdr:blipFill>
            <a:blip xmlns:r="http://schemas.openxmlformats.org/officeDocument/2006/relationships" r:embed="rId10"/>
            <a:srcRect/>
            <a:stretch>
              <a:fillRect/>
            </a:stretch>
          </xdr:blipFill>
          <xdr:spPr bwMode="auto">
            <a:xfrm>
              <a:off x="831273" y="10235045"/>
              <a:ext cx="2415886" cy="77610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9</xdr:col>
      <xdr:colOff>190502</xdr:colOff>
      <xdr:row>79</xdr:row>
      <xdr:rowOff>34636</xdr:rowOff>
    </xdr:from>
    <xdr:to>
      <xdr:col>14</xdr:col>
      <xdr:colOff>207821</xdr:colOff>
      <xdr:row>82</xdr:row>
      <xdr:rowOff>245217</xdr:rowOff>
    </xdr:to>
    <xdr:pic>
      <xdr:nvPicPr>
        <xdr:cNvPr id="4098" name="図 4097">
          <a:extLst>
            <a:ext uri="{FF2B5EF4-FFF2-40B4-BE49-F238E27FC236}">
              <a16:creationId xmlns:a16="http://schemas.microsoft.com/office/drawing/2014/main" id="{8BBEF34A-7AAC-568B-EF92-45FBD47B8AC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186797" y="9429750"/>
          <a:ext cx="3628160" cy="10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349829</xdr:colOff>
      <xdr:row>86</xdr:row>
      <xdr:rowOff>313460</xdr:rowOff>
    </xdr:from>
    <xdr:to>
      <xdr:col>16</xdr:col>
      <xdr:colOff>566306</xdr:colOff>
      <xdr:row>90</xdr:row>
      <xdr:rowOff>183574</xdr:rowOff>
    </xdr:to>
    <xdr:sp macro="" textlink="">
      <xdr:nvSpPr>
        <xdr:cNvPr id="4119" name="テキスト ボックス 4118">
          <a:extLst>
            <a:ext uri="{FF2B5EF4-FFF2-40B4-BE49-F238E27FC236}">
              <a16:creationId xmlns:a16="http://schemas.microsoft.com/office/drawing/2014/main" id="{D27871AD-5B3D-4DEE-8DC9-94FDFAFBA8C2}"/>
            </a:ext>
          </a:extLst>
        </xdr:cNvPr>
        <xdr:cNvSpPr txBox="1"/>
      </xdr:nvSpPr>
      <xdr:spPr>
        <a:xfrm>
          <a:off x="7607879" y="28717010"/>
          <a:ext cx="2959677" cy="9750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solidFill>
                <a:srgbClr val="FF0000"/>
              </a:solidFill>
            </a:rPr>
            <a:t>ネット検索を行う際のキーワードの例！</a:t>
          </a:r>
          <a:endParaRPr kumimoji="1" lang="en-US" altLang="ja-JP" sz="1200" b="1" u="sng">
            <a:solidFill>
              <a:srgbClr val="FF0000"/>
            </a:solidFill>
          </a:endParaRPr>
        </a:p>
        <a:p>
          <a:r>
            <a:rPr kumimoji="1" lang="en-US" altLang="ja-JP" sz="1200" b="1"/>
            <a:t>1.</a:t>
          </a:r>
          <a:r>
            <a:rPr kumimoji="1" lang="ja-JP" altLang="en-US" sz="1200" b="1"/>
            <a:t>地方税の計算＋市区町村名　</a:t>
          </a:r>
          <a:endParaRPr kumimoji="1" lang="en-US" altLang="ja-JP" sz="1200" b="1"/>
        </a:p>
        <a:p>
          <a:r>
            <a:rPr kumimoji="1" lang="en-US" altLang="ja-JP" sz="1200" b="1"/>
            <a:t>2.</a:t>
          </a:r>
          <a:r>
            <a:rPr kumimoji="1" lang="ja-JP" altLang="en-US" sz="1200" b="1"/>
            <a:t>町民税の計算＋市区町村名</a:t>
          </a:r>
          <a:endParaRPr kumimoji="1" lang="en-US" altLang="ja-JP" sz="1200" b="1"/>
        </a:p>
        <a:p>
          <a:r>
            <a:rPr kumimoji="1" lang="en-US" altLang="ja-JP" sz="1200" b="1"/>
            <a:t>3.</a:t>
          </a:r>
          <a:r>
            <a:rPr kumimoji="1" lang="ja-JP" altLang="en-US" sz="1200" b="1"/>
            <a:t>市民税の計算＋市区町村名　など</a:t>
          </a:r>
        </a:p>
      </xdr:txBody>
    </xdr:sp>
    <xdr:clientData/>
  </xdr:twoCellAnchor>
  <xdr:twoCellAnchor>
    <xdr:from>
      <xdr:col>17</xdr:col>
      <xdr:colOff>178253</xdr:colOff>
      <xdr:row>84</xdr:row>
      <xdr:rowOff>218359</xdr:rowOff>
    </xdr:from>
    <xdr:to>
      <xdr:col>26</xdr:col>
      <xdr:colOff>26217</xdr:colOff>
      <xdr:row>100</xdr:row>
      <xdr:rowOff>23819</xdr:rowOff>
    </xdr:to>
    <xdr:grpSp>
      <xdr:nvGrpSpPr>
        <xdr:cNvPr id="4139" name="グループ化 4138">
          <a:extLst>
            <a:ext uri="{FF2B5EF4-FFF2-40B4-BE49-F238E27FC236}">
              <a16:creationId xmlns:a16="http://schemas.microsoft.com/office/drawing/2014/main" id="{F3CE597D-5F7B-4A4F-89B8-1212B200FB5C}"/>
            </a:ext>
          </a:extLst>
        </xdr:cNvPr>
        <xdr:cNvGrpSpPr/>
      </xdr:nvGrpSpPr>
      <xdr:grpSpPr>
        <a:xfrm>
          <a:off x="10899170" y="27100026"/>
          <a:ext cx="6039214" cy="4239876"/>
          <a:chOff x="12049126" y="13163550"/>
          <a:chExt cx="8410574" cy="7191227"/>
        </a:xfrm>
      </xdr:grpSpPr>
      <xdr:grpSp>
        <xdr:nvGrpSpPr>
          <xdr:cNvPr id="4140" name="グループ化 4139">
            <a:extLst>
              <a:ext uri="{FF2B5EF4-FFF2-40B4-BE49-F238E27FC236}">
                <a16:creationId xmlns:a16="http://schemas.microsoft.com/office/drawing/2014/main" id="{E4C57638-910C-C7F6-CDF7-AA08E0549823}"/>
              </a:ext>
            </a:extLst>
          </xdr:cNvPr>
          <xdr:cNvGrpSpPr/>
        </xdr:nvGrpSpPr>
        <xdr:grpSpPr>
          <a:xfrm>
            <a:off x="12049126" y="13728044"/>
            <a:ext cx="8410574" cy="1989619"/>
            <a:chOff x="15982951" y="1983719"/>
            <a:chExt cx="9267824" cy="1989619"/>
          </a:xfrm>
        </xdr:grpSpPr>
        <xdr:grpSp>
          <xdr:nvGrpSpPr>
            <xdr:cNvPr id="4153" name="グループ化 4152">
              <a:extLst>
                <a:ext uri="{FF2B5EF4-FFF2-40B4-BE49-F238E27FC236}">
                  <a16:creationId xmlns:a16="http://schemas.microsoft.com/office/drawing/2014/main" id="{894AD6E0-3DF5-041A-9726-81EC50923AFC}"/>
                </a:ext>
              </a:extLst>
            </xdr:cNvPr>
            <xdr:cNvGrpSpPr/>
          </xdr:nvGrpSpPr>
          <xdr:grpSpPr>
            <a:xfrm>
              <a:off x="15982951" y="1983719"/>
              <a:ext cx="9267824" cy="1989619"/>
              <a:chOff x="15982951" y="1983719"/>
              <a:chExt cx="9267824" cy="1989619"/>
            </a:xfrm>
          </xdr:grpSpPr>
          <xdr:pic>
            <xdr:nvPicPr>
              <xdr:cNvPr id="4155" name="図 4154">
                <a:extLst>
                  <a:ext uri="{FF2B5EF4-FFF2-40B4-BE49-F238E27FC236}">
                    <a16:creationId xmlns:a16="http://schemas.microsoft.com/office/drawing/2014/main" id="{776582CB-D051-F2EA-EFF4-6E398F20EE7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982951" y="1983719"/>
                <a:ext cx="9267824" cy="1989619"/>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4156" name="直線コネクタ 4155">
                <a:extLst>
                  <a:ext uri="{FF2B5EF4-FFF2-40B4-BE49-F238E27FC236}">
                    <a16:creationId xmlns:a16="http://schemas.microsoft.com/office/drawing/2014/main" id="{642EDFE7-60BC-69E7-5D3B-09100D8FE580}"/>
                  </a:ext>
                </a:extLst>
              </xdr:cNvPr>
              <xdr:cNvCxnSpPr/>
            </xdr:nvCxnSpPr>
            <xdr:spPr>
              <a:xfrm>
                <a:off x="16497300" y="2552700"/>
                <a:ext cx="6048375" cy="952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157" name="直線コネクタ 4156">
                <a:extLst>
                  <a:ext uri="{FF2B5EF4-FFF2-40B4-BE49-F238E27FC236}">
                    <a16:creationId xmlns:a16="http://schemas.microsoft.com/office/drawing/2014/main" id="{404CA4F0-5C9B-9297-FF6A-DF03DCF4BABF}"/>
                  </a:ext>
                </a:extLst>
              </xdr:cNvPr>
              <xdr:cNvCxnSpPr/>
            </xdr:nvCxnSpPr>
            <xdr:spPr>
              <a:xfrm flipV="1">
                <a:off x="16268701" y="2838450"/>
                <a:ext cx="8534399" cy="2519"/>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4154" name="テキスト ボックス 4153">
              <a:extLst>
                <a:ext uri="{FF2B5EF4-FFF2-40B4-BE49-F238E27FC236}">
                  <a16:creationId xmlns:a16="http://schemas.microsoft.com/office/drawing/2014/main" id="{B3606C33-4EF0-B2C7-B410-D6A8DE491BFB}"/>
                </a:ext>
              </a:extLst>
            </xdr:cNvPr>
            <xdr:cNvSpPr txBox="1"/>
          </xdr:nvSpPr>
          <xdr:spPr>
            <a:xfrm>
              <a:off x="23012400" y="2009775"/>
              <a:ext cx="207645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奈良県ホームページより</a:t>
              </a:r>
            </a:p>
          </xdr:txBody>
        </xdr:sp>
      </xdr:grpSp>
      <xdr:grpSp>
        <xdr:nvGrpSpPr>
          <xdr:cNvPr id="4141" name="グループ化 4140">
            <a:extLst>
              <a:ext uri="{FF2B5EF4-FFF2-40B4-BE49-F238E27FC236}">
                <a16:creationId xmlns:a16="http://schemas.microsoft.com/office/drawing/2014/main" id="{81344F2B-A9B1-8027-B014-38CEB9624A7D}"/>
              </a:ext>
            </a:extLst>
          </xdr:cNvPr>
          <xdr:cNvGrpSpPr/>
        </xdr:nvGrpSpPr>
        <xdr:grpSpPr>
          <a:xfrm>
            <a:off x="12115800" y="15773400"/>
            <a:ext cx="7038975" cy="4581377"/>
            <a:chOff x="11715750" y="19640550"/>
            <a:chExt cx="7038975" cy="4581377"/>
          </a:xfrm>
        </xdr:grpSpPr>
        <xdr:grpSp>
          <xdr:nvGrpSpPr>
            <xdr:cNvPr id="4143" name="グループ化 4142">
              <a:extLst>
                <a:ext uri="{FF2B5EF4-FFF2-40B4-BE49-F238E27FC236}">
                  <a16:creationId xmlns:a16="http://schemas.microsoft.com/office/drawing/2014/main" id="{11F24688-95CA-E75B-358D-1768A04CE8E0}"/>
                </a:ext>
              </a:extLst>
            </xdr:cNvPr>
            <xdr:cNvGrpSpPr/>
          </xdr:nvGrpSpPr>
          <xdr:grpSpPr>
            <a:xfrm>
              <a:off x="11715750" y="19640550"/>
              <a:ext cx="7038975" cy="4581377"/>
              <a:chOff x="11687175" y="19564350"/>
              <a:chExt cx="7038975" cy="4581377"/>
            </a:xfrm>
          </xdr:grpSpPr>
          <xdr:grpSp>
            <xdr:nvGrpSpPr>
              <xdr:cNvPr id="4146" name="グループ化 4145">
                <a:extLst>
                  <a:ext uri="{FF2B5EF4-FFF2-40B4-BE49-F238E27FC236}">
                    <a16:creationId xmlns:a16="http://schemas.microsoft.com/office/drawing/2014/main" id="{07770AF5-8322-D4E5-CFBA-921499B3A695}"/>
                  </a:ext>
                </a:extLst>
              </xdr:cNvPr>
              <xdr:cNvGrpSpPr/>
            </xdr:nvGrpSpPr>
            <xdr:grpSpPr>
              <a:xfrm>
                <a:off x="11687175" y="19564350"/>
                <a:ext cx="7038975" cy="4581377"/>
                <a:chOff x="11687175" y="19564350"/>
                <a:chExt cx="7038975" cy="4581377"/>
              </a:xfrm>
            </xdr:grpSpPr>
            <xdr:pic>
              <xdr:nvPicPr>
                <xdr:cNvPr id="4149" name="図 4148">
                  <a:extLst>
                    <a:ext uri="{FF2B5EF4-FFF2-40B4-BE49-F238E27FC236}">
                      <a16:creationId xmlns:a16="http://schemas.microsoft.com/office/drawing/2014/main" id="{405D55A9-0E3C-4EFE-2B34-157C973D072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1687175" y="19564350"/>
                  <a:ext cx="7038975" cy="458137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150" name="四角形: 角を丸くする 4149">
                  <a:extLst>
                    <a:ext uri="{FF2B5EF4-FFF2-40B4-BE49-F238E27FC236}">
                      <a16:creationId xmlns:a16="http://schemas.microsoft.com/office/drawing/2014/main" id="{5509A175-4E44-21BF-EF09-DA8F95AE7449}"/>
                    </a:ext>
                  </a:extLst>
                </xdr:cNvPr>
                <xdr:cNvSpPr/>
              </xdr:nvSpPr>
              <xdr:spPr>
                <a:xfrm>
                  <a:off x="13592175" y="21516975"/>
                  <a:ext cx="876300" cy="8191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51" name="四角形: 角を丸くする 4150">
                  <a:extLst>
                    <a:ext uri="{FF2B5EF4-FFF2-40B4-BE49-F238E27FC236}">
                      <a16:creationId xmlns:a16="http://schemas.microsoft.com/office/drawing/2014/main" id="{FA3A63F9-D190-A374-672F-573557D80797}"/>
                    </a:ext>
                  </a:extLst>
                </xdr:cNvPr>
                <xdr:cNvSpPr/>
              </xdr:nvSpPr>
              <xdr:spPr>
                <a:xfrm>
                  <a:off x="13563600" y="23098125"/>
                  <a:ext cx="876300" cy="8191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52" name="テキスト ボックス 4151">
                  <a:extLst>
                    <a:ext uri="{FF2B5EF4-FFF2-40B4-BE49-F238E27FC236}">
                      <a16:creationId xmlns:a16="http://schemas.microsoft.com/office/drawing/2014/main" id="{42C26D99-D14B-8D41-20E3-C5411B8A23A6}"/>
                    </a:ext>
                  </a:extLst>
                </xdr:cNvPr>
                <xdr:cNvSpPr txBox="1"/>
              </xdr:nvSpPr>
              <xdr:spPr>
                <a:xfrm>
                  <a:off x="12563475" y="20212050"/>
                  <a:ext cx="215265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大阪市ホームページより</a:t>
                  </a:r>
                </a:p>
              </xdr:txBody>
            </xdr:sp>
          </xdr:grpSp>
          <xdr:sp macro="" textlink="">
            <xdr:nvSpPr>
              <xdr:cNvPr id="4147" name="楕円 4146">
                <a:extLst>
                  <a:ext uri="{FF2B5EF4-FFF2-40B4-BE49-F238E27FC236}">
                    <a16:creationId xmlns:a16="http://schemas.microsoft.com/office/drawing/2014/main" id="{23FD2ADA-4421-AED0-B227-CE5D2CBC1779}"/>
                  </a:ext>
                </a:extLst>
              </xdr:cNvPr>
              <xdr:cNvSpPr/>
            </xdr:nvSpPr>
            <xdr:spPr>
              <a:xfrm>
                <a:off x="12620625" y="21717000"/>
                <a:ext cx="733425" cy="7524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48" name="楕円 4147">
                <a:extLst>
                  <a:ext uri="{FF2B5EF4-FFF2-40B4-BE49-F238E27FC236}">
                    <a16:creationId xmlns:a16="http://schemas.microsoft.com/office/drawing/2014/main" id="{A5BDE8E3-BF0C-3047-AC8A-02064A4D164E}"/>
                  </a:ext>
                </a:extLst>
              </xdr:cNvPr>
              <xdr:cNvSpPr/>
            </xdr:nvSpPr>
            <xdr:spPr>
              <a:xfrm>
                <a:off x="12649200" y="23221950"/>
                <a:ext cx="733425" cy="7524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144" name="四角形: 角を丸くする 4143">
              <a:extLst>
                <a:ext uri="{FF2B5EF4-FFF2-40B4-BE49-F238E27FC236}">
                  <a16:creationId xmlns:a16="http://schemas.microsoft.com/office/drawing/2014/main" id="{B0C64442-8D40-D7B1-6EFE-504F346CFE7C}"/>
                </a:ext>
              </a:extLst>
            </xdr:cNvPr>
            <xdr:cNvSpPr/>
          </xdr:nvSpPr>
          <xdr:spPr>
            <a:xfrm>
              <a:off x="11839574" y="20955000"/>
              <a:ext cx="714375" cy="153352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45" name="四角形: 角を丸くする 4144">
              <a:extLst>
                <a:ext uri="{FF2B5EF4-FFF2-40B4-BE49-F238E27FC236}">
                  <a16:creationId xmlns:a16="http://schemas.microsoft.com/office/drawing/2014/main" id="{5B1F515D-458D-CF5E-A78C-B2D6F9CD1B0A}"/>
                </a:ext>
              </a:extLst>
            </xdr:cNvPr>
            <xdr:cNvSpPr/>
          </xdr:nvSpPr>
          <xdr:spPr>
            <a:xfrm>
              <a:off x="11858625" y="22602825"/>
              <a:ext cx="714375" cy="153352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142" name="テキスト ボックス 4141">
            <a:extLst>
              <a:ext uri="{FF2B5EF4-FFF2-40B4-BE49-F238E27FC236}">
                <a16:creationId xmlns:a16="http://schemas.microsoft.com/office/drawing/2014/main" id="{C73A1723-8853-E2BD-9AD8-3BBA6467DD18}"/>
              </a:ext>
            </a:extLst>
          </xdr:cNvPr>
          <xdr:cNvSpPr txBox="1"/>
        </xdr:nvSpPr>
        <xdr:spPr>
          <a:xfrm>
            <a:off x="12230097" y="13163550"/>
            <a:ext cx="6363277" cy="447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t>【</a:t>
            </a:r>
            <a:r>
              <a:rPr kumimoji="1" lang="ja-JP" altLang="en-US" sz="1600" b="1"/>
              <a:t>自治体のホームページから抜粋した非課税基準の例</a:t>
            </a:r>
            <a:r>
              <a:rPr kumimoji="1" lang="en-US" altLang="ja-JP" sz="1600" b="1"/>
              <a:t>】</a:t>
            </a:r>
            <a:endParaRPr kumimoji="1" lang="ja-JP" altLang="en-US" sz="1600" b="1"/>
          </a:p>
        </xdr:txBody>
      </xdr:sp>
    </xdr:grpSp>
    <xdr:clientData/>
  </xdr:twoCellAnchor>
  <xdr:twoCellAnchor editAs="oneCell">
    <xdr:from>
      <xdr:col>2</xdr:col>
      <xdr:colOff>441613</xdr:colOff>
      <xdr:row>91</xdr:row>
      <xdr:rowOff>164524</xdr:rowOff>
    </xdr:from>
    <xdr:to>
      <xdr:col>15</xdr:col>
      <xdr:colOff>536863</xdr:colOff>
      <xdr:row>97</xdr:row>
      <xdr:rowOff>119241</xdr:rowOff>
    </xdr:to>
    <xdr:pic>
      <xdr:nvPicPr>
        <xdr:cNvPr id="4158" name="図 4157">
          <a:extLst>
            <a:ext uri="{FF2B5EF4-FFF2-40B4-BE49-F238E27FC236}">
              <a16:creationId xmlns:a16="http://schemas.microsoft.com/office/drawing/2014/main" id="{7B2B4A09-6CE1-8047-3E02-D6826044E73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22613" y="15724910"/>
          <a:ext cx="9005455" cy="1617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684070</xdr:colOff>
      <xdr:row>5</xdr:row>
      <xdr:rowOff>259773</xdr:rowOff>
    </xdr:from>
    <xdr:to>
      <xdr:col>13</xdr:col>
      <xdr:colOff>49696</xdr:colOff>
      <xdr:row>7</xdr:row>
      <xdr:rowOff>95425</xdr:rowOff>
    </xdr:to>
    <xdr:sp macro="" textlink="">
      <xdr:nvSpPr>
        <xdr:cNvPr id="10" name="四角形: 角を丸くする 9">
          <a:hlinkClick xmlns:r="http://schemas.openxmlformats.org/officeDocument/2006/relationships" r:id="rId15"/>
          <a:extLst>
            <a:ext uri="{FF2B5EF4-FFF2-40B4-BE49-F238E27FC236}">
              <a16:creationId xmlns:a16="http://schemas.microsoft.com/office/drawing/2014/main" id="{35F9F5E2-6858-4F5B-8E83-225685074F12}"/>
            </a:ext>
          </a:extLst>
        </xdr:cNvPr>
        <xdr:cNvSpPr/>
      </xdr:nvSpPr>
      <xdr:spPr>
        <a:xfrm>
          <a:off x="5703331" y="2189621"/>
          <a:ext cx="2305952" cy="432000"/>
        </a:xfrm>
        <a:prstGeom prst="roundRect">
          <a:avLst/>
        </a:prstGeom>
        <a:solidFill>
          <a:srgbClr val="FFFF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４</a:t>
          </a:r>
          <a:r>
            <a:rPr kumimoji="1" lang="en-US" altLang="ja-JP"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tx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０．設定仕様概要</a:t>
          </a:r>
          <a:endParaRPr kumimoji="1" lang="ja-JP" altLang="en-US" sz="1200" b="1">
            <a:solidFill>
              <a:schemeClr val="tx1"/>
            </a:solidFill>
            <a:latin typeface="游ゴシック Medium" panose="020B0500000000000000" pitchFamily="50" charset="-128"/>
            <a:ea typeface="游ゴシック Medium" panose="020B0500000000000000" pitchFamily="50" charset="-128"/>
          </a:endParaRPr>
        </a:p>
      </xdr:txBody>
    </xdr:sp>
    <xdr:clientData/>
  </xdr:twoCellAnchor>
  <xdr:twoCellAnchor>
    <xdr:from>
      <xdr:col>16</xdr:col>
      <xdr:colOff>493568</xdr:colOff>
      <xdr:row>59</xdr:row>
      <xdr:rowOff>34636</xdr:rowOff>
    </xdr:from>
    <xdr:to>
      <xdr:col>21</xdr:col>
      <xdr:colOff>103909</xdr:colOff>
      <xdr:row>61</xdr:row>
      <xdr:rowOff>278822</xdr:rowOff>
    </xdr:to>
    <xdr:sp macro="" textlink="">
      <xdr:nvSpPr>
        <xdr:cNvPr id="20" name="楕円 19">
          <a:extLst>
            <a:ext uri="{FF2B5EF4-FFF2-40B4-BE49-F238E27FC236}">
              <a16:creationId xmlns:a16="http://schemas.microsoft.com/office/drawing/2014/main" id="{1656C7B8-CB9F-4728-95F6-5045AFD37577}"/>
            </a:ext>
          </a:extLst>
        </xdr:cNvPr>
        <xdr:cNvSpPr/>
      </xdr:nvSpPr>
      <xdr:spPr>
        <a:xfrm>
          <a:off x="10468841" y="8702386"/>
          <a:ext cx="3030682" cy="815686"/>
        </a:xfrm>
        <a:prstGeom prst="ellipse">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24</xdr:col>
      <xdr:colOff>277091</xdr:colOff>
      <xdr:row>55</xdr:row>
      <xdr:rowOff>259773</xdr:rowOff>
    </xdr:from>
    <xdr:to>
      <xdr:col>27</xdr:col>
      <xdr:colOff>294410</xdr:colOff>
      <xdr:row>58</xdr:row>
      <xdr:rowOff>238347</xdr:rowOff>
    </xdr:to>
    <xdr:sp macro="" textlink="">
      <xdr:nvSpPr>
        <xdr:cNvPr id="22" name="吹き出し: 折線 (枠付き、強調線付き) 21">
          <a:extLst>
            <a:ext uri="{FF2B5EF4-FFF2-40B4-BE49-F238E27FC236}">
              <a16:creationId xmlns:a16="http://schemas.microsoft.com/office/drawing/2014/main" id="{82E0B309-25E8-45F9-A172-8AE28E1F232D}"/>
            </a:ext>
          </a:extLst>
        </xdr:cNvPr>
        <xdr:cNvSpPr/>
      </xdr:nvSpPr>
      <xdr:spPr>
        <a:xfrm>
          <a:off x="15724909" y="7784523"/>
          <a:ext cx="2069524" cy="835824"/>
        </a:xfrm>
        <a:prstGeom prst="accentBorderCallout2">
          <a:avLst>
            <a:gd name="adj1" fmla="val 82532"/>
            <a:gd name="adj2" fmla="val -5145"/>
            <a:gd name="adj3" fmla="val 88563"/>
            <a:gd name="adj4" fmla="val -40029"/>
            <a:gd name="adj5" fmla="val 128565"/>
            <a:gd name="adj6" fmla="val -14085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ja-JP" altLang="en-US" sz="1100" b="1" i="0" u="none" strike="noStrike">
              <a:solidFill>
                <a:schemeClr val="dk1"/>
              </a:solidFill>
              <a:effectLst/>
              <a:latin typeface="+mn-lt"/>
              <a:ea typeface="+mn-ea"/>
              <a:cs typeface="+mn-cs"/>
            </a:rPr>
            <a:t>・月収社会保険適用拡大基準</a:t>
          </a:r>
          <a:endParaRPr lang="en-US" altLang="ja-JP" sz="1100" b="1" i="0" u="none" strike="noStrike">
            <a:solidFill>
              <a:schemeClr val="dk1"/>
            </a:solidFill>
            <a:effectLst/>
            <a:latin typeface="+mn-lt"/>
            <a:ea typeface="+mn-ea"/>
            <a:cs typeface="+mn-cs"/>
          </a:endParaRPr>
        </a:p>
        <a:p>
          <a:pPr algn="l"/>
          <a:r>
            <a:rPr lang="ja-JP" altLang="en-US" sz="1100" b="1" i="0" u="none" strike="noStrike">
              <a:solidFill>
                <a:schemeClr val="dk1"/>
              </a:solidFill>
              <a:effectLst/>
              <a:latin typeface="+mn-lt"/>
              <a:ea typeface="+mn-ea"/>
              <a:cs typeface="+mn-cs"/>
            </a:rPr>
            <a:t>・月収年収算定基準</a:t>
          </a:r>
          <a:endParaRPr lang="en-US" altLang="ja-JP" sz="1100" b="1" i="0" u="none" strike="noStrike">
            <a:solidFill>
              <a:schemeClr val="dk1"/>
            </a:solidFill>
            <a:effectLst/>
            <a:latin typeface="+mn-lt"/>
            <a:ea typeface="+mn-ea"/>
            <a:cs typeface="+mn-cs"/>
          </a:endParaRPr>
        </a:p>
        <a:p>
          <a:pPr algn="l"/>
          <a:r>
            <a:rPr lang="ja-JP" altLang="en-US" sz="1100" b="1" i="0" u="none" strike="noStrike">
              <a:solidFill>
                <a:schemeClr val="dk1"/>
              </a:solidFill>
              <a:effectLst/>
              <a:latin typeface="+mn-lt"/>
              <a:ea typeface="+mn-ea"/>
              <a:cs typeface="+mn-cs"/>
            </a:rPr>
            <a:t>・月収標準報酬月額算定基準</a:t>
          </a:r>
          <a:endParaRPr lang="en-US" altLang="ja-JP" sz="1100" b="1" i="0" u="none" strike="noStrike">
            <a:solidFill>
              <a:schemeClr val="dk1"/>
            </a:solidFill>
            <a:effectLst/>
            <a:latin typeface="+mn-lt"/>
            <a:ea typeface="+mn-ea"/>
            <a:cs typeface="+mn-cs"/>
          </a:endParaRPr>
        </a:p>
        <a:p>
          <a:pPr algn="l"/>
          <a:r>
            <a:rPr lang="ja-JP" altLang="en-US" sz="1100" b="1" i="0" u="none" strike="noStrike">
              <a:solidFill>
                <a:schemeClr val="dk1"/>
              </a:solidFill>
              <a:effectLst/>
              <a:latin typeface="+mn-lt"/>
              <a:ea typeface="+mn-ea"/>
              <a:cs typeface="+mn-cs"/>
            </a:rPr>
            <a:t>上記３区分で集計　</a:t>
          </a:r>
          <a:endParaRPr lang="en-US" altLang="ja-JP" sz="1100" b="1" i="0" u="none" strike="noStrike">
            <a:solidFill>
              <a:schemeClr val="dk1"/>
            </a:solidFill>
            <a:effectLst/>
            <a:latin typeface="+mn-lt"/>
            <a:ea typeface="+mn-ea"/>
            <a:cs typeface="+mn-cs"/>
          </a:endParaRPr>
        </a:p>
      </xdr:txBody>
    </xdr:sp>
    <xdr:clientData/>
  </xdr:twoCellAnchor>
  <xdr:twoCellAnchor>
    <xdr:from>
      <xdr:col>11</xdr:col>
      <xdr:colOff>31749</xdr:colOff>
      <xdr:row>64</xdr:row>
      <xdr:rowOff>265544</xdr:rowOff>
    </xdr:from>
    <xdr:to>
      <xdr:col>19</xdr:col>
      <xdr:colOff>507999</xdr:colOff>
      <xdr:row>72</xdr:row>
      <xdr:rowOff>152977</xdr:rowOff>
    </xdr:to>
    <xdr:sp macro="" textlink="">
      <xdr:nvSpPr>
        <xdr:cNvPr id="23" name="吹き出し: 折線 (枠付き、強調線付き) 22">
          <a:extLst>
            <a:ext uri="{FF2B5EF4-FFF2-40B4-BE49-F238E27FC236}">
              <a16:creationId xmlns:a16="http://schemas.microsoft.com/office/drawing/2014/main" id="{635B2EF3-37B9-4551-A666-50AD2C9E52EB}"/>
            </a:ext>
          </a:extLst>
        </xdr:cNvPr>
        <xdr:cNvSpPr/>
      </xdr:nvSpPr>
      <xdr:spPr>
        <a:xfrm>
          <a:off x="6625166" y="21823794"/>
          <a:ext cx="5979583" cy="2173433"/>
        </a:xfrm>
        <a:prstGeom prst="accentBorderCallout2">
          <a:avLst>
            <a:gd name="adj1" fmla="val 61815"/>
            <a:gd name="adj2" fmla="val -607"/>
            <a:gd name="adj3" fmla="val 68613"/>
            <a:gd name="adj4" fmla="val -19491"/>
            <a:gd name="adj5" fmla="val -88613"/>
            <a:gd name="adj6" fmla="val -73299"/>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ja-JP" altLang="en-US" sz="1100" b="1" i="0" u="sng" strike="noStrike">
              <a:solidFill>
                <a:schemeClr val="dk1"/>
              </a:solidFill>
              <a:effectLst/>
              <a:latin typeface="+mj-ea"/>
              <a:ea typeface="+mj-ea"/>
              <a:cs typeface="+mn-cs"/>
            </a:rPr>
            <a:t>問 </a:t>
          </a:r>
          <a:r>
            <a:rPr lang="en-US" altLang="ja-JP" sz="1100" b="1" i="0" u="sng" strike="noStrike">
              <a:solidFill>
                <a:schemeClr val="dk1"/>
              </a:solidFill>
              <a:effectLst/>
              <a:latin typeface="+mj-ea"/>
              <a:ea typeface="+mj-ea"/>
              <a:cs typeface="+mn-cs"/>
            </a:rPr>
            <a:t>41 </a:t>
          </a:r>
          <a:r>
            <a:rPr lang="ja-JP" altLang="en-US" sz="1100" b="1" i="0" u="sng" strike="noStrike">
              <a:solidFill>
                <a:schemeClr val="dk1"/>
              </a:solidFill>
              <a:effectLst/>
              <a:latin typeface="+mj-ea"/>
              <a:ea typeface="+mj-ea"/>
              <a:cs typeface="+mn-cs"/>
            </a:rPr>
            <a:t>月額賃金が </a:t>
          </a:r>
          <a:r>
            <a:rPr lang="en-US" altLang="ja-JP" sz="1100" b="1" i="0" u="sng" strike="noStrike">
              <a:solidFill>
                <a:schemeClr val="dk1"/>
              </a:solidFill>
              <a:effectLst/>
              <a:latin typeface="+mj-ea"/>
              <a:ea typeface="+mj-ea"/>
              <a:cs typeface="+mn-cs"/>
            </a:rPr>
            <a:t>8.8 </a:t>
          </a:r>
          <a:r>
            <a:rPr lang="ja-JP" altLang="en-US" sz="1100" b="1" i="0" u="sng" strike="noStrike">
              <a:solidFill>
                <a:schemeClr val="dk1"/>
              </a:solidFill>
              <a:effectLst/>
              <a:latin typeface="+mj-ea"/>
              <a:ea typeface="+mj-ea"/>
              <a:cs typeface="+mn-cs"/>
            </a:rPr>
            <a:t>万円以上の算定基礎となる賃金には、どのようなものが含まれるのか。</a:t>
          </a:r>
        </a:p>
        <a:p>
          <a:pPr algn="l"/>
          <a:r>
            <a:rPr lang="ja-JP" altLang="en-US" sz="1100" b="1" i="0" u="none" strike="noStrike">
              <a:solidFill>
                <a:schemeClr val="dk1"/>
              </a:solidFill>
              <a:effectLst/>
              <a:latin typeface="+mj-ea"/>
              <a:ea typeface="+mj-ea"/>
              <a:cs typeface="+mn-cs"/>
            </a:rPr>
            <a:t>（答）月額賃金 </a:t>
          </a:r>
          <a:r>
            <a:rPr lang="en-US" altLang="ja-JP" sz="1100" b="1" i="0" u="none" strike="noStrike">
              <a:solidFill>
                <a:schemeClr val="dk1"/>
              </a:solidFill>
              <a:effectLst/>
              <a:latin typeface="+mj-ea"/>
              <a:ea typeface="+mj-ea"/>
              <a:cs typeface="+mn-cs"/>
            </a:rPr>
            <a:t>8.8 </a:t>
          </a:r>
          <a:r>
            <a:rPr lang="ja-JP" altLang="en-US" sz="1100" b="1" i="0" u="none" strike="noStrike">
              <a:solidFill>
                <a:schemeClr val="dk1"/>
              </a:solidFill>
              <a:effectLst/>
              <a:latin typeface="+mj-ea"/>
              <a:ea typeface="+mj-ea"/>
              <a:cs typeface="+mn-cs"/>
            </a:rPr>
            <a:t>万円の算定対象は、基本給及び諸手当で判断します。ただ</a:t>
          </a:r>
        </a:p>
        <a:p>
          <a:pPr algn="l"/>
          <a:r>
            <a:rPr lang="ja-JP" altLang="en-US" sz="1100" b="1" i="0" u="none" strike="noStrike">
              <a:solidFill>
                <a:schemeClr val="dk1"/>
              </a:solidFill>
              <a:effectLst/>
              <a:latin typeface="+mj-ea"/>
              <a:ea typeface="+mj-ea"/>
              <a:cs typeface="+mn-cs"/>
            </a:rPr>
            <a:t>し、</a:t>
          </a:r>
          <a:r>
            <a:rPr lang="ja-JP" altLang="en-US" sz="1100" b="1" i="0" u="none" strike="noStrike">
              <a:solidFill>
                <a:srgbClr val="FF0000"/>
              </a:solidFill>
              <a:effectLst/>
              <a:latin typeface="+mj-ea"/>
              <a:ea typeface="+mj-ea"/>
              <a:cs typeface="+mn-cs"/>
            </a:rPr>
            <a:t>以下の①から④までの賃金は算入されません。</a:t>
          </a:r>
        </a:p>
        <a:p>
          <a:pPr algn="l"/>
          <a:r>
            <a:rPr lang="ja-JP" altLang="en-US" sz="1100" b="1" i="0" u="none" strike="noStrike">
              <a:solidFill>
                <a:schemeClr val="dk1"/>
              </a:solidFill>
              <a:effectLst/>
              <a:latin typeface="+mj-ea"/>
              <a:ea typeface="+mj-ea"/>
              <a:cs typeface="+mn-cs"/>
            </a:rPr>
            <a:t>① 臨時に支払われる賃金（結婚手当等）</a:t>
          </a:r>
        </a:p>
        <a:p>
          <a:pPr algn="l"/>
          <a:r>
            <a:rPr lang="ja-JP" altLang="en-US" sz="1100" b="1" i="0" u="none" strike="noStrike">
              <a:solidFill>
                <a:schemeClr val="dk1"/>
              </a:solidFill>
              <a:effectLst/>
              <a:latin typeface="+mj-ea"/>
              <a:ea typeface="+mj-ea"/>
              <a:cs typeface="+mn-cs"/>
            </a:rPr>
            <a:t>② １月を超える期間ごとに支払われる賃金（賞与等）</a:t>
          </a:r>
        </a:p>
        <a:p>
          <a:pPr algn="l"/>
          <a:r>
            <a:rPr lang="ja-JP" altLang="en-US" sz="1100" b="1" i="0" u="none" strike="noStrike">
              <a:solidFill>
                <a:schemeClr val="dk1"/>
              </a:solidFill>
              <a:effectLst/>
              <a:latin typeface="+mj-ea"/>
              <a:ea typeface="+mj-ea"/>
              <a:cs typeface="+mn-cs"/>
            </a:rPr>
            <a:t>③ 時間外労働に対して支払われる賃金、休日労働及び深夜労働に対して</a:t>
          </a:r>
        </a:p>
        <a:p>
          <a:pPr algn="l"/>
          <a:r>
            <a:rPr lang="ja-JP" altLang="en-US" sz="1100" b="1" i="0" u="none" strike="noStrike">
              <a:solidFill>
                <a:schemeClr val="dk1"/>
              </a:solidFill>
              <a:effectLst/>
              <a:latin typeface="+mj-ea"/>
              <a:ea typeface="+mj-ea"/>
              <a:cs typeface="+mn-cs"/>
            </a:rPr>
            <a:t>支払われる賃金（割増賃金等）</a:t>
          </a:r>
        </a:p>
        <a:p>
          <a:pPr algn="l"/>
          <a:r>
            <a:rPr lang="ja-JP" altLang="en-US" sz="1100" b="1" i="0" u="none" strike="noStrike">
              <a:solidFill>
                <a:schemeClr val="dk1"/>
              </a:solidFill>
              <a:effectLst/>
              <a:latin typeface="+mj-ea"/>
              <a:ea typeface="+mj-ea"/>
              <a:cs typeface="+mn-cs"/>
            </a:rPr>
            <a:t>④ 最低賃金において算入しないことを定める賃金（精皆勤手当、通勤手当</a:t>
          </a:r>
        </a:p>
        <a:p>
          <a:pPr algn="l"/>
          <a:r>
            <a:rPr lang="ja-JP" altLang="en-US" sz="1100" b="1" i="0" u="none" strike="noStrike">
              <a:solidFill>
                <a:schemeClr val="dk1"/>
              </a:solidFill>
              <a:effectLst/>
              <a:latin typeface="+mj-ea"/>
              <a:ea typeface="+mj-ea"/>
              <a:cs typeface="+mn-cs"/>
            </a:rPr>
            <a:t>及び家族手当）</a:t>
          </a:r>
        </a:p>
        <a:p>
          <a:pPr algn="l"/>
          <a:r>
            <a:rPr lang="ja-JP" altLang="en-US" sz="1100" b="1" i="0" u="none" strike="noStrike">
              <a:solidFill>
                <a:schemeClr val="dk1"/>
              </a:solidFill>
              <a:effectLst/>
              <a:latin typeface="+mj-ea"/>
              <a:ea typeface="+mj-ea"/>
              <a:cs typeface="+mn-cs"/>
            </a:rPr>
            <a:t>　なお、月額賃金が</a:t>
          </a:r>
          <a:r>
            <a:rPr lang="en-US" altLang="ja-JP" sz="1100" b="1" i="0" u="none" strike="noStrike">
              <a:solidFill>
                <a:schemeClr val="dk1"/>
              </a:solidFill>
              <a:effectLst/>
              <a:latin typeface="+mj-ea"/>
              <a:ea typeface="+mj-ea"/>
              <a:cs typeface="+mn-cs"/>
            </a:rPr>
            <a:t>8.8</a:t>
          </a:r>
          <a:r>
            <a:rPr lang="ja-JP" altLang="en-US" sz="1100" b="1" i="0" u="none" strike="noStrike">
              <a:solidFill>
                <a:schemeClr val="dk1"/>
              </a:solidFill>
              <a:effectLst/>
              <a:latin typeface="+mj-ea"/>
              <a:ea typeface="+mj-ea"/>
              <a:cs typeface="+mn-cs"/>
            </a:rPr>
            <a:t>万円以上であるかないかのみに基づき、要件を満たすか否</a:t>
          </a:r>
        </a:p>
        <a:p>
          <a:pPr algn="l"/>
          <a:r>
            <a:rPr lang="ja-JP" altLang="en-US" sz="1100" b="1" i="0" u="none" strike="noStrike">
              <a:solidFill>
                <a:schemeClr val="dk1"/>
              </a:solidFill>
              <a:effectLst/>
              <a:latin typeface="+mj-ea"/>
              <a:ea typeface="+mj-ea"/>
              <a:cs typeface="+mn-cs"/>
            </a:rPr>
            <a:t>かを判定します（年収</a:t>
          </a:r>
          <a:r>
            <a:rPr lang="en-US" altLang="ja-JP" sz="1100" b="1" i="0" u="none" strike="noStrike">
              <a:solidFill>
                <a:schemeClr val="dk1"/>
              </a:solidFill>
              <a:effectLst/>
              <a:latin typeface="+mj-ea"/>
              <a:ea typeface="+mj-ea"/>
              <a:cs typeface="+mn-cs"/>
            </a:rPr>
            <a:t>106</a:t>
          </a:r>
          <a:r>
            <a:rPr lang="ja-JP" altLang="en-US" sz="1100" b="1" i="0" u="none" strike="noStrike">
              <a:solidFill>
                <a:schemeClr val="dk1"/>
              </a:solidFill>
              <a:effectLst/>
              <a:latin typeface="+mj-ea"/>
              <a:ea typeface="+mj-ea"/>
              <a:cs typeface="+mn-cs"/>
            </a:rPr>
            <a:t>万円以上というのはあくまで参考の値です。）</a:t>
          </a:r>
        </a:p>
      </xdr:txBody>
    </xdr:sp>
    <xdr:clientData/>
  </xdr:twoCellAnchor>
  <xdr:twoCellAnchor>
    <xdr:from>
      <xdr:col>2</xdr:col>
      <xdr:colOff>361536</xdr:colOff>
      <xdr:row>8</xdr:row>
      <xdr:rowOff>43898</xdr:rowOff>
    </xdr:from>
    <xdr:to>
      <xdr:col>4</xdr:col>
      <xdr:colOff>436080</xdr:colOff>
      <xdr:row>9</xdr:row>
      <xdr:rowOff>160755</xdr:rowOff>
    </xdr:to>
    <xdr:sp macro="" textlink="">
      <xdr:nvSpPr>
        <xdr:cNvPr id="2" name="四角形: 角を丸くする 1">
          <a:extLst>
            <a:ext uri="{FF2B5EF4-FFF2-40B4-BE49-F238E27FC236}">
              <a16:creationId xmlns:a16="http://schemas.microsoft.com/office/drawing/2014/main" id="{AB7E300E-F2A9-43AF-840E-98782DDBC2BB}"/>
            </a:ext>
          </a:extLst>
        </xdr:cNvPr>
        <xdr:cNvSpPr/>
      </xdr:nvSpPr>
      <xdr:spPr>
        <a:xfrm>
          <a:off x="742536" y="2853773"/>
          <a:ext cx="1274694" cy="412132"/>
        </a:xfrm>
        <a:prstGeom prst="roundRect">
          <a:avLst/>
        </a:prstGeom>
        <a:solidFill>
          <a:srgbClr val="FFFF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ctr"/>
          <a:r>
            <a:rPr kumimoji="1" lang="ja-JP" altLang="en-US" sz="1200" b="1">
              <a:solidFill>
                <a:schemeClr val="tx1"/>
              </a:solidFill>
              <a:latin typeface="游ゴシック Medium" panose="020B0500000000000000" pitchFamily="50" charset="-128"/>
              <a:ea typeface="游ゴシック Medium" panose="020B0500000000000000" pitchFamily="50" charset="-128"/>
            </a:rPr>
            <a:t>操作手順</a:t>
          </a:r>
        </a:p>
      </xdr:txBody>
    </xdr:sp>
    <xdr:clientData/>
  </xdr:twoCellAnchor>
  <xdr:twoCellAnchor>
    <xdr:from>
      <xdr:col>2</xdr:col>
      <xdr:colOff>190500</xdr:colOff>
      <xdr:row>35</xdr:row>
      <xdr:rowOff>281609</xdr:rowOff>
    </xdr:from>
    <xdr:to>
      <xdr:col>23</xdr:col>
      <xdr:colOff>140805</xdr:colOff>
      <xdr:row>46</xdr:row>
      <xdr:rowOff>163583</xdr:rowOff>
    </xdr:to>
    <xdr:grpSp>
      <xdr:nvGrpSpPr>
        <xdr:cNvPr id="65" name="グループ化 64">
          <a:extLst>
            <a:ext uri="{FF2B5EF4-FFF2-40B4-BE49-F238E27FC236}">
              <a16:creationId xmlns:a16="http://schemas.microsoft.com/office/drawing/2014/main" id="{10C41681-70CD-8728-2956-AA0919AF405D}"/>
            </a:ext>
          </a:extLst>
        </xdr:cNvPr>
        <xdr:cNvGrpSpPr/>
      </xdr:nvGrpSpPr>
      <xdr:grpSpPr>
        <a:xfrm>
          <a:off x="571500" y="13701276"/>
          <a:ext cx="14417722" cy="3025224"/>
          <a:chOff x="571500" y="6038022"/>
          <a:chExt cx="14403457" cy="3070778"/>
        </a:xfrm>
      </xdr:grpSpPr>
      <xdr:sp macro="" textlink="">
        <xdr:nvSpPr>
          <xdr:cNvPr id="5" name="テキスト ボックス 4">
            <a:extLst>
              <a:ext uri="{FF2B5EF4-FFF2-40B4-BE49-F238E27FC236}">
                <a16:creationId xmlns:a16="http://schemas.microsoft.com/office/drawing/2014/main" id="{74513AC8-6BAB-469B-A9A7-6A157CCA47CB}"/>
              </a:ext>
            </a:extLst>
          </xdr:cNvPr>
          <xdr:cNvSpPr txBox="1"/>
        </xdr:nvSpPr>
        <xdr:spPr>
          <a:xfrm>
            <a:off x="571500" y="6203674"/>
            <a:ext cx="1598543" cy="1896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パスワードの保護解除　</a:t>
            </a:r>
            <a:endParaRPr kumimoji="1" lang="en-US" altLang="ja-JP" sz="1200" b="1"/>
          </a:p>
          <a:p>
            <a:r>
              <a:rPr kumimoji="1" lang="ja-JP" altLang="en-US" sz="1200" b="1"/>
              <a:t>　・保護の解除（シート単位）：</a:t>
            </a:r>
            <a:endParaRPr kumimoji="1" lang="en-US" altLang="ja-JP" sz="1200" b="1"/>
          </a:p>
          <a:p>
            <a:r>
              <a:rPr kumimoji="1" lang="ja-JP" altLang="en-US" sz="1200" b="1"/>
              <a:t>ツールバー「校閲」→「シートの保護（解除）→「パスワード」半角で入力</a:t>
            </a:r>
          </a:p>
          <a:p>
            <a:endParaRPr kumimoji="1" lang="ja-JP" altLang="en-US" sz="1200" b="1"/>
          </a:p>
        </xdr:txBody>
      </xdr:sp>
      <xdr:sp macro="" textlink="">
        <xdr:nvSpPr>
          <xdr:cNvPr id="21" name="テキスト ボックス 20">
            <a:extLst>
              <a:ext uri="{FF2B5EF4-FFF2-40B4-BE49-F238E27FC236}">
                <a16:creationId xmlns:a16="http://schemas.microsoft.com/office/drawing/2014/main" id="{2EB4E5BE-7C02-447C-A9A0-2EFB83862543}"/>
              </a:ext>
            </a:extLst>
          </xdr:cNvPr>
          <xdr:cNvSpPr txBox="1"/>
        </xdr:nvSpPr>
        <xdr:spPr>
          <a:xfrm>
            <a:off x="2526196" y="6245086"/>
            <a:ext cx="1225826" cy="1747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シート内の青字セル（入力セル）を列単位または複数選択します（Ｃｔｒｌキーを押しながら選択）。</a:t>
            </a:r>
          </a:p>
        </xdr:txBody>
      </xdr:sp>
      <xdr:sp macro="" textlink="">
        <xdr:nvSpPr>
          <xdr:cNvPr id="24" name="テキスト ボックス 23">
            <a:extLst>
              <a:ext uri="{FF2B5EF4-FFF2-40B4-BE49-F238E27FC236}">
                <a16:creationId xmlns:a16="http://schemas.microsoft.com/office/drawing/2014/main" id="{D04C8F13-9B32-437E-9E52-3F7581ED6CB2}"/>
              </a:ext>
            </a:extLst>
          </xdr:cNvPr>
          <xdr:cNvSpPr txBox="1"/>
        </xdr:nvSpPr>
        <xdr:spPr>
          <a:xfrm>
            <a:off x="4075043" y="6195391"/>
            <a:ext cx="1035326" cy="1913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選択範囲内でカーソル右クリック</a:t>
            </a:r>
            <a:endParaRPr kumimoji="1" lang="en-US" altLang="ja-JP" sz="1200" b="1"/>
          </a:p>
          <a:p>
            <a:r>
              <a:rPr kumimoji="1" lang="ja-JP" altLang="en-US" sz="1200" b="1"/>
              <a:t>⇒</a:t>
            </a:r>
            <a:endParaRPr kumimoji="1" lang="en-US" altLang="ja-JP" sz="1200" b="1"/>
          </a:p>
          <a:p>
            <a:r>
              <a:rPr kumimoji="1" lang="ja-JP" altLang="en-US" sz="1200" b="1"/>
              <a:t>メニューの検索から</a:t>
            </a:r>
            <a:endParaRPr kumimoji="1" lang="en-US" altLang="ja-JP" sz="1200" b="1"/>
          </a:p>
          <a:p>
            <a:r>
              <a:rPr kumimoji="1" lang="ja-JP" altLang="en-US" sz="1200" b="1"/>
              <a:t>「セルの書式設定」をクリック</a:t>
            </a:r>
          </a:p>
        </xdr:txBody>
      </xdr:sp>
      <xdr:sp macro="" textlink="">
        <xdr:nvSpPr>
          <xdr:cNvPr id="25" name="テキスト ボックス 24">
            <a:extLst>
              <a:ext uri="{FF2B5EF4-FFF2-40B4-BE49-F238E27FC236}">
                <a16:creationId xmlns:a16="http://schemas.microsoft.com/office/drawing/2014/main" id="{9C716428-0F7D-494D-9A00-B86AD3BDE052}"/>
              </a:ext>
            </a:extLst>
          </xdr:cNvPr>
          <xdr:cNvSpPr txBox="1"/>
        </xdr:nvSpPr>
        <xdr:spPr>
          <a:xfrm>
            <a:off x="7976153" y="6145696"/>
            <a:ext cx="1035326" cy="20375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「セルの書式設定」上部の「保護」をクリック</a:t>
            </a:r>
            <a:endParaRPr kumimoji="1" lang="en-US" altLang="ja-JP" sz="1200" b="1"/>
          </a:p>
          <a:p>
            <a:endParaRPr kumimoji="1" lang="en-US" altLang="ja-JP" sz="1200" b="1"/>
          </a:p>
          <a:p>
            <a:r>
              <a:rPr kumimoji="1" lang="ja-JP" altLang="en-US" sz="1200" b="1"/>
              <a:t>画面の「ロック」と「表示しない」のレ点を外す</a:t>
            </a:r>
          </a:p>
        </xdr:txBody>
      </xdr:sp>
      <xdr:sp macro="" textlink="">
        <xdr:nvSpPr>
          <xdr:cNvPr id="54" name="テキスト ボックス 53">
            <a:extLst>
              <a:ext uri="{FF2B5EF4-FFF2-40B4-BE49-F238E27FC236}">
                <a16:creationId xmlns:a16="http://schemas.microsoft.com/office/drawing/2014/main" id="{1BAEA020-D56C-477E-A612-34B61DB35D0A}"/>
              </a:ext>
            </a:extLst>
          </xdr:cNvPr>
          <xdr:cNvSpPr txBox="1"/>
        </xdr:nvSpPr>
        <xdr:spPr>
          <a:xfrm>
            <a:off x="13798827" y="6253368"/>
            <a:ext cx="1176130" cy="14908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lt"/>
                <a:ea typeface="+mn-ea"/>
                <a:cs typeface="+mn-cs"/>
              </a:rPr>
              <a:t>ツールバー「校閲」→「シートの保護</a:t>
            </a:r>
            <a:r>
              <a:rPr kumimoji="1" lang="ja-JP" altLang="en-US"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lt"/>
                <a:ea typeface="+mn-ea"/>
                <a:cs typeface="+mn-cs"/>
              </a:rPr>
              <a:t>パスワードなしで再保護をします。</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200" b="1"/>
          </a:p>
        </xdr:txBody>
      </xdr:sp>
      <xdr:sp macro="" textlink="">
        <xdr:nvSpPr>
          <xdr:cNvPr id="3" name="矢印: 右 2">
            <a:extLst>
              <a:ext uri="{FF2B5EF4-FFF2-40B4-BE49-F238E27FC236}">
                <a16:creationId xmlns:a16="http://schemas.microsoft.com/office/drawing/2014/main" id="{A6CA6F55-9B76-2AA8-2D98-1407D195177F}"/>
              </a:ext>
            </a:extLst>
          </xdr:cNvPr>
          <xdr:cNvSpPr/>
        </xdr:nvSpPr>
        <xdr:spPr>
          <a:xfrm>
            <a:off x="2178326" y="6626087"/>
            <a:ext cx="240196" cy="356152"/>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矢印: 右 5">
            <a:extLst>
              <a:ext uri="{FF2B5EF4-FFF2-40B4-BE49-F238E27FC236}">
                <a16:creationId xmlns:a16="http://schemas.microsoft.com/office/drawing/2014/main" id="{EC787D2E-7069-4CD0-9850-4E6F35538901}"/>
              </a:ext>
            </a:extLst>
          </xdr:cNvPr>
          <xdr:cNvSpPr/>
        </xdr:nvSpPr>
        <xdr:spPr>
          <a:xfrm>
            <a:off x="13487399" y="6761921"/>
            <a:ext cx="240196" cy="356152"/>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矢印: 右 13">
            <a:extLst>
              <a:ext uri="{FF2B5EF4-FFF2-40B4-BE49-F238E27FC236}">
                <a16:creationId xmlns:a16="http://schemas.microsoft.com/office/drawing/2014/main" id="{5C944AB6-B325-4739-8207-6CCE2B2A6A31}"/>
              </a:ext>
            </a:extLst>
          </xdr:cNvPr>
          <xdr:cNvSpPr/>
        </xdr:nvSpPr>
        <xdr:spPr>
          <a:xfrm>
            <a:off x="7634908" y="6657560"/>
            <a:ext cx="240196" cy="356152"/>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矢印: 右 14">
            <a:extLst>
              <a:ext uri="{FF2B5EF4-FFF2-40B4-BE49-F238E27FC236}">
                <a16:creationId xmlns:a16="http://schemas.microsoft.com/office/drawing/2014/main" id="{AEED80AE-1297-43FB-8E45-F7CD5ACB21F1}"/>
              </a:ext>
            </a:extLst>
          </xdr:cNvPr>
          <xdr:cNvSpPr/>
        </xdr:nvSpPr>
        <xdr:spPr>
          <a:xfrm>
            <a:off x="3778526" y="6619461"/>
            <a:ext cx="240196" cy="356152"/>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次の値と等しい 18">
            <a:extLst>
              <a:ext uri="{FF2B5EF4-FFF2-40B4-BE49-F238E27FC236}">
                <a16:creationId xmlns:a16="http://schemas.microsoft.com/office/drawing/2014/main" id="{11AC2CA6-C68A-A1C2-D38E-F5CBAE0C8AFD}"/>
              </a:ext>
            </a:extLst>
          </xdr:cNvPr>
          <xdr:cNvSpPr/>
        </xdr:nvSpPr>
        <xdr:spPr>
          <a:xfrm>
            <a:off x="5068956" y="6617804"/>
            <a:ext cx="447261" cy="389283"/>
          </a:xfrm>
          <a:prstGeom prst="mathEqua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nvGrpSpPr>
          <xdr:cNvPr id="55" name="グループ化 54">
            <a:extLst>
              <a:ext uri="{FF2B5EF4-FFF2-40B4-BE49-F238E27FC236}">
                <a16:creationId xmlns:a16="http://schemas.microsoft.com/office/drawing/2014/main" id="{7277AB5A-22C8-F846-81B4-038476EF330C}"/>
              </a:ext>
            </a:extLst>
          </xdr:cNvPr>
          <xdr:cNvGrpSpPr/>
        </xdr:nvGrpSpPr>
        <xdr:grpSpPr>
          <a:xfrm>
            <a:off x="5565912" y="6195391"/>
            <a:ext cx="2086387" cy="2913409"/>
            <a:chOff x="10899912" y="1449456"/>
            <a:chExt cx="2086387" cy="2913409"/>
          </a:xfrm>
        </xdr:grpSpPr>
        <xdr:pic>
          <xdr:nvPicPr>
            <xdr:cNvPr id="32" name="図 31">
              <a:extLst>
                <a:ext uri="{FF2B5EF4-FFF2-40B4-BE49-F238E27FC236}">
                  <a16:creationId xmlns:a16="http://schemas.microsoft.com/office/drawing/2014/main" id="{E101AEBE-0B8C-AFAD-6FC1-17A7E8553BB3}"/>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899912" y="1449456"/>
              <a:ext cx="2077278" cy="14618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図 52">
              <a:extLst>
                <a:ext uri="{FF2B5EF4-FFF2-40B4-BE49-F238E27FC236}">
                  <a16:creationId xmlns:a16="http://schemas.microsoft.com/office/drawing/2014/main" id="{7E173A4E-C6C0-F64B-5D26-26F7AAD4A366}"/>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966171" y="3056283"/>
              <a:ext cx="2020128" cy="1306582"/>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56" name="次の値と等しい 55">
            <a:extLst>
              <a:ext uri="{FF2B5EF4-FFF2-40B4-BE49-F238E27FC236}">
                <a16:creationId xmlns:a16="http://schemas.microsoft.com/office/drawing/2014/main" id="{F6ECC977-6BA7-440E-BA79-A61963E9CE42}"/>
              </a:ext>
            </a:extLst>
          </xdr:cNvPr>
          <xdr:cNvSpPr/>
        </xdr:nvSpPr>
        <xdr:spPr>
          <a:xfrm>
            <a:off x="8978348" y="6617804"/>
            <a:ext cx="447261" cy="389283"/>
          </a:xfrm>
          <a:prstGeom prst="mathEqua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nvGrpSpPr>
          <xdr:cNvPr id="59" name="グループ化 58">
            <a:extLst>
              <a:ext uri="{FF2B5EF4-FFF2-40B4-BE49-F238E27FC236}">
                <a16:creationId xmlns:a16="http://schemas.microsoft.com/office/drawing/2014/main" id="{BB2C1088-980F-DDC5-816E-258A52541332}"/>
              </a:ext>
            </a:extLst>
          </xdr:cNvPr>
          <xdr:cNvGrpSpPr/>
        </xdr:nvGrpSpPr>
        <xdr:grpSpPr>
          <a:xfrm>
            <a:off x="9450457" y="6038022"/>
            <a:ext cx="4044398" cy="2674869"/>
            <a:chOff x="10187609" y="2517913"/>
            <a:chExt cx="4044398" cy="2674869"/>
          </a:xfrm>
        </xdr:grpSpPr>
        <xdr:pic>
          <xdr:nvPicPr>
            <xdr:cNvPr id="57" name="図 56">
              <a:extLst>
                <a:ext uri="{FF2B5EF4-FFF2-40B4-BE49-F238E27FC236}">
                  <a16:creationId xmlns:a16="http://schemas.microsoft.com/office/drawing/2014/main" id="{BCCB2297-3B08-D57B-3536-A3894A08EF28}"/>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187609" y="2517913"/>
              <a:ext cx="4044398" cy="14714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8" name="図 57">
              <a:extLst>
                <a:ext uri="{FF2B5EF4-FFF2-40B4-BE49-F238E27FC236}">
                  <a16:creationId xmlns:a16="http://schemas.microsoft.com/office/drawing/2014/main" id="{6DD1BD85-2665-DF58-1FF5-65D07AD0CF6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220739" y="4000500"/>
              <a:ext cx="3987248" cy="1192282"/>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2</xdr:col>
      <xdr:colOff>157370</xdr:colOff>
      <xdr:row>0</xdr:row>
      <xdr:rowOff>140805</xdr:rowOff>
    </xdr:from>
    <xdr:to>
      <xdr:col>11</xdr:col>
      <xdr:colOff>516421</xdr:colOff>
      <xdr:row>2</xdr:row>
      <xdr:rowOff>91109</xdr:rowOff>
    </xdr:to>
    <xdr:sp macro="" textlink="">
      <xdr:nvSpPr>
        <xdr:cNvPr id="8" name="正方形/長方形 7">
          <a:extLst>
            <a:ext uri="{FF2B5EF4-FFF2-40B4-BE49-F238E27FC236}">
              <a16:creationId xmlns:a16="http://schemas.microsoft.com/office/drawing/2014/main" id="{523E918D-47E1-4164-BAD3-E9C03499575D}"/>
            </a:ext>
          </a:extLst>
        </xdr:cNvPr>
        <xdr:cNvSpPr/>
      </xdr:nvSpPr>
      <xdr:spPr>
        <a:xfrm>
          <a:off x="538370" y="140805"/>
          <a:ext cx="6562725" cy="770282"/>
        </a:xfrm>
        <a:prstGeom prst="rect">
          <a:avLst/>
        </a:prstGeom>
        <a:solidFill>
          <a:srgbClr val="008000"/>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600" b="1" u="sng">
              <a:solidFill>
                <a:schemeClr val="bg1"/>
              </a:solidFill>
            </a:rPr>
            <a:t>キャリアアップ助成金（社会保険適用時処遇改善コース）</a:t>
          </a:r>
          <a:endParaRPr kumimoji="1" lang="en-US" altLang="ja-JP" sz="1600" b="1" u="sng">
            <a:solidFill>
              <a:schemeClr val="bg1"/>
            </a:solidFill>
          </a:endParaRPr>
        </a:p>
        <a:p>
          <a:pPr algn="ctr"/>
          <a:r>
            <a:rPr kumimoji="1" lang="ja-JP" altLang="en-US" sz="1600" b="1" u="sng">
              <a:solidFill>
                <a:schemeClr val="bg1"/>
              </a:solidFill>
            </a:rPr>
            <a:t>活用シミュレーションソフト</a:t>
          </a:r>
          <a:endParaRPr kumimoji="1" lang="en-US" altLang="ja-JP" sz="1600" b="1" u="sng">
            <a:solidFill>
              <a:schemeClr val="bg1"/>
            </a:solidFill>
          </a:endParaRPr>
        </a:p>
      </xdr:txBody>
    </xdr:sp>
    <xdr:clientData/>
  </xdr:twoCellAnchor>
  <xdr:twoCellAnchor>
    <xdr:from>
      <xdr:col>13</xdr:col>
      <xdr:colOff>91109</xdr:colOff>
      <xdr:row>2</xdr:row>
      <xdr:rowOff>182218</xdr:rowOff>
    </xdr:from>
    <xdr:to>
      <xdr:col>17</xdr:col>
      <xdr:colOff>91108</xdr:colOff>
      <xdr:row>4</xdr:row>
      <xdr:rowOff>115956</xdr:rowOff>
    </xdr:to>
    <xdr:sp macro="" textlink="">
      <xdr:nvSpPr>
        <xdr:cNvPr id="26" name="四角形: 角を丸くする 25">
          <a:extLst>
            <a:ext uri="{FF2B5EF4-FFF2-40B4-BE49-F238E27FC236}">
              <a16:creationId xmlns:a16="http://schemas.microsoft.com/office/drawing/2014/main" id="{7E5D1F7A-8B86-44B7-A1D5-DC96AA57D092}"/>
            </a:ext>
          </a:extLst>
        </xdr:cNvPr>
        <xdr:cNvSpPr/>
      </xdr:nvSpPr>
      <xdr:spPr>
        <a:xfrm>
          <a:off x="8050696" y="1002196"/>
          <a:ext cx="2749825" cy="745434"/>
        </a:xfrm>
        <a:prstGeom prst="roundRect">
          <a:avLst/>
        </a:prstGeom>
        <a:solidFill>
          <a:srgbClr val="00FF99"/>
        </a:solidFill>
        <a:ln>
          <a:solidFill>
            <a:srgbClr val="006C3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a:solidFill>
                <a:schemeClr val="tx1"/>
              </a:solidFill>
            </a:rPr>
            <a:t>併用メニュー（２年目）</a:t>
          </a:r>
          <a:endParaRPr kumimoji="1" lang="en-US" altLang="ja-JP" sz="1800">
            <a:solidFill>
              <a:schemeClr val="tx1"/>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a:solidFill>
                <a:schemeClr val="tx1"/>
              </a:solidFill>
              <a:effectLst/>
              <a:latin typeface="+mn-lt"/>
              <a:ea typeface="+mn-ea"/>
              <a:cs typeface="+mn-cs"/>
            </a:rPr>
            <a:t>（</a:t>
          </a:r>
          <a:r>
            <a:rPr kumimoji="1" lang="ja-JP" altLang="ja-JP" sz="1400" b="1">
              <a:solidFill>
                <a:schemeClr val="tx1"/>
              </a:solidFill>
              <a:effectLst/>
              <a:latin typeface="+mn-lt"/>
              <a:ea typeface="+mn-ea"/>
              <a:cs typeface="+mn-cs"/>
            </a:rPr>
            <a:t>１年目は手当等支給メニュー</a:t>
          </a:r>
          <a:r>
            <a:rPr kumimoji="1" lang="ja-JP" altLang="en-US" sz="1400" b="1">
              <a:solidFill>
                <a:schemeClr val="tx1"/>
              </a:solidFill>
              <a:effectLst/>
              <a:latin typeface="+mn-lt"/>
              <a:ea typeface="+mn-ea"/>
              <a:cs typeface="+mn-cs"/>
            </a:rPr>
            <a:t>）</a:t>
          </a:r>
          <a:endParaRPr kumimoji="1" lang="ja-JP" altLang="en-US" sz="1800">
            <a:solidFill>
              <a:schemeClr val="tx1"/>
            </a:solidFill>
          </a:endParaRPr>
        </a:p>
      </xdr:txBody>
    </xdr:sp>
    <xdr:clientData/>
  </xdr:twoCellAnchor>
  <xdr:twoCellAnchor>
    <xdr:from>
      <xdr:col>9</xdr:col>
      <xdr:colOff>132522</xdr:colOff>
      <xdr:row>2</xdr:row>
      <xdr:rowOff>231914</xdr:rowOff>
    </xdr:from>
    <xdr:to>
      <xdr:col>12</xdr:col>
      <xdr:colOff>607267</xdr:colOff>
      <xdr:row>4</xdr:row>
      <xdr:rowOff>138922</xdr:rowOff>
    </xdr:to>
    <xdr:sp macro="" textlink="">
      <xdr:nvSpPr>
        <xdr:cNvPr id="40" name="四角形: 角を丸くする 39">
          <a:extLst>
            <a:ext uri="{FF2B5EF4-FFF2-40B4-BE49-F238E27FC236}">
              <a16:creationId xmlns:a16="http://schemas.microsoft.com/office/drawing/2014/main" id="{70FF54AF-CEEB-4F0B-98AD-FB2F9D92A12E}"/>
            </a:ext>
          </a:extLst>
        </xdr:cNvPr>
        <xdr:cNvSpPr/>
      </xdr:nvSpPr>
      <xdr:spPr>
        <a:xfrm>
          <a:off x="5151783" y="1051892"/>
          <a:ext cx="2727614" cy="718704"/>
        </a:xfrm>
        <a:prstGeom prst="roundRect">
          <a:avLst/>
        </a:prstGeom>
        <a:solidFill>
          <a:srgbClr val="FF0000"/>
        </a:solidFill>
        <a:ln>
          <a:solidFill>
            <a:srgbClr val="006C3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a:t>併用メニュー（１年目）</a:t>
          </a:r>
          <a:endParaRPr kumimoji="1" lang="en-US" altLang="ja-JP" sz="1800"/>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a:solidFill>
                <a:schemeClr val="lt1"/>
              </a:solidFill>
              <a:effectLst/>
              <a:latin typeface="+mn-lt"/>
              <a:ea typeface="+mn-ea"/>
              <a:cs typeface="+mn-cs"/>
            </a:rPr>
            <a:t>（</a:t>
          </a:r>
          <a:r>
            <a:rPr kumimoji="1" lang="ja-JP" altLang="ja-JP" sz="1400" b="1">
              <a:solidFill>
                <a:schemeClr val="lt1"/>
              </a:solidFill>
              <a:effectLst/>
              <a:latin typeface="+mn-lt"/>
              <a:ea typeface="+mn-ea"/>
              <a:cs typeface="+mn-cs"/>
            </a:rPr>
            <a:t>１年目は手当等支給メニュー</a:t>
          </a:r>
          <a:r>
            <a:rPr kumimoji="1" lang="ja-JP" altLang="en-US" sz="1400" b="1">
              <a:solidFill>
                <a:schemeClr val="lt1"/>
              </a:solidFill>
              <a:effectLst/>
              <a:latin typeface="+mn-lt"/>
              <a:ea typeface="+mn-ea"/>
              <a:cs typeface="+mn-cs"/>
            </a:rPr>
            <a:t>）</a:t>
          </a:r>
          <a:endParaRPr lang="ja-JP" altLang="ja-JP" sz="1400" b="1">
            <a:effectLst/>
          </a:endParaRPr>
        </a:p>
        <a:p>
          <a:pPr algn="ctr"/>
          <a:endParaRPr kumimoji="1" lang="ja-JP" altLang="en-US" sz="1800"/>
        </a:p>
      </xdr:txBody>
    </xdr:sp>
    <xdr:clientData/>
  </xdr:twoCellAnchor>
  <xdr:twoCellAnchor>
    <xdr:from>
      <xdr:col>9</xdr:col>
      <xdr:colOff>687456</xdr:colOff>
      <xdr:row>10</xdr:row>
      <xdr:rowOff>289890</xdr:rowOff>
    </xdr:from>
    <xdr:to>
      <xdr:col>13</xdr:col>
      <xdr:colOff>35841</xdr:colOff>
      <xdr:row>13</xdr:row>
      <xdr:rowOff>131933</xdr:rowOff>
    </xdr:to>
    <xdr:sp macro="" textlink="">
      <xdr:nvSpPr>
        <xdr:cNvPr id="51" name="四角形: 角を丸くする 50">
          <a:hlinkClick xmlns:r="http://schemas.openxmlformats.org/officeDocument/2006/relationships" r:id="rId20"/>
          <a:extLst>
            <a:ext uri="{FF2B5EF4-FFF2-40B4-BE49-F238E27FC236}">
              <a16:creationId xmlns:a16="http://schemas.microsoft.com/office/drawing/2014/main" id="{8411EBE4-0581-423E-AED4-522BA81F5321}"/>
            </a:ext>
          </a:extLst>
        </xdr:cNvPr>
        <xdr:cNvSpPr/>
      </xdr:nvSpPr>
      <xdr:spPr>
        <a:xfrm>
          <a:off x="5706717" y="3710607"/>
          <a:ext cx="2288711" cy="720000"/>
        </a:xfrm>
        <a:prstGeom prst="roundRect">
          <a:avLst/>
        </a:prstGeom>
        <a:solidFill>
          <a:srgbClr val="FF66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４</a:t>
          </a:r>
          <a:r>
            <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a:t>
          </a:r>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２．手当等支給メニュー</a:t>
          </a:r>
          <a:endParaRPr kumimoji="1" lang="en-US" altLang="ja-JP"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endParaRPr>
        </a:p>
        <a:p>
          <a:pPr algn="l"/>
          <a:r>
            <a:rPr kumimoji="1" lang="ja-JP" altLang="en-US" sz="1200" b="1" cap="none" spc="0">
              <a:ln w="0"/>
              <a:solidFill>
                <a:schemeClr val="bg1"/>
              </a:solidFill>
              <a:effectLst>
                <a:outerShdw blurRad="38100" dist="25400" dir="5400000" algn="ctr" rotWithShape="0">
                  <a:srgbClr val="6E747A">
                    <a:alpha val="43000"/>
                  </a:srgbClr>
                </a:outerShdw>
              </a:effectLst>
              <a:latin typeface="游ゴシック Medium" panose="020B0500000000000000" pitchFamily="50" charset="-128"/>
              <a:ea typeface="游ゴシック Medium" panose="020B0500000000000000" pitchFamily="50" charset="-128"/>
            </a:rPr>
            <a:t>　　お知らせ（１年目）！</a:t>
          </a:r>
          <a:endParaRPr kumimoji="1" lang="ja-JP" altLang="en-US" sz="1200" b="1">
            <a:solidFill>
              <a:schemeClr val="bg1"/>
            </a:solidFill>
            <a:latin typeface="游ゴシック Medium" panose="020B0500000000000000" pitchFamily="50" charset="-128"/>
            <a:ea typeface="游ゴシック Medium" panose="020B0500000000000000" pitchFamily="50" charset="-128"/>
          </a:endParaRPr>
        </a:p>
      </xdr:txBody>
    </xdr:sp>
    <xdr:clientData/>
  </xdr:twoCellAnchor>
  <xdr:twoCellAnchor>
    <xdr:from>
      <xdr:col>2</xdr:col>
      <xdr:colOff>57150</xdr:colOff>
      <xdr:row>50</xdr:row>
      <xdr:rowOff>219075</xdr:rowOff>
    </xdr:from>
    <xdr:to>
      <xdr:col>22</xdr:col>
      <xdr:colOff>295275</xdr:colOff>
      <xdr:row>56</xdr:row>
      <xdr:rowOff>85724</xdr:rowOff>
    </xdr:to>
    <xdr:grpSp>
      <xdr:nvGrpSpPr>
        <xdr:cNvPr id="7" name="グループ化 6">
          <a:extLst>
            <a:ext uri="{FF2B5EF4-FFF2-40B4-BE49-F238E27FC236}">
              <a16:creationId xmlns:a16="http://schemas.microsoft.com/office/drawing/2014/main" id="{D40D1B9E-EF4B-4C7D-8BE6-CE7D7ACCA957}"/>
            </a:ext>
          </a:extLst>
        </xdr:cNvPr>
        <xdr:cNvGrpSpPr/>
      </xdr:nvGrpSpPr>
      <xdr:grpSpPr>
        <a:xfrm>
          <a:off x="438150" y="17924992"/>
          <a:ext cx="14017625" cy="1432982"/>
          <a:chOff x="438150" y="11820525"/>
          <a:chExt cx="13973175" cy="1428749"/>
        </a:xfrm>
      </xdr:grpSpPr>
      <xdr:pic>
        <xdr:nvPicPr>
          <xdr:cNvPr id="66" name="図 65">
            <a:extLst>
              <a:ext uri="{FF2B5EF4-FFF2-40B4-BE49-F238E27FC236}">
                <a16:creationId xmlns:a16="http://schemas.microsoft.com/office/drawing/2014/main" id="{6741E058-F011-BEE0-5E32-D5FC7DCB6204}"/>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38150" y="11947095"/>
            <a:ext cx="13839825" cy="130217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7" name="正方形/長方形 66">
            <a:extLst>
              <a:ext uri="{FF2B5EF4-FFF2-40B4-BE49-F238E27FC236}">
                <a16:creationId xmlns:a16="http://schemas.microsoft.com/office/drawing/2014/main" id="{DEF4E9E8-E3C7-3041-A714-551302F7FCAE}"/>
              </a:ext>
            </a:extLst>
          </xdr:cNvPr>
          <xdr:cNvSpPr/>
        </xdr:nvSpPr>
        <xdr:spPr>
          <a:xfrm>
            <a:off x="13830300" y="11820525"/>
            <a:ext cx="581025" cy="23812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0</xdr:colOff>
      <xdr:row>126</xdr:row>
      <xdr:rowOff>0</xdr:rowOff>
    </xdr:from>
    <xdr:to>
      <xdr:col>28</xdr:col>
      <xdr:colOff>141543</xdr:colOff>
      <xdr:row>145</xdr:row>
      <xdr:rowOff>85725</xdr:rowOff>
    </xdr:to>
    <xdr:grpSp>
      <xdr:nvGrpSpPr>
        <xdr:cNvPr id="64" name="グループ化 63">
          <a:extLst>
            <a:ext uri="{FF2B5EF4-FFF2-40B4-BE49-F238E27FC236}">
              <a16:creationId xmlns:a16="http://schemas.microsoft.com/office/drawing/2014/main" id="{8C984BD5-54CE-F915-A092-786779C15181}"/>
            </a:ext>
          </a:extLst>
        </xdr:cNvPr>
        <xdr:cNvGrpSpPr/>
      </xdr:nvGrpSpPr>
      <xdr:grpSpPr>
        <a:xfrm>
          <a:off x="381000" y="38078833"/>
          <a:ext cx="18048543" cy="5313892"/>
          <a:chOff x="381000" y="34728150"/>
          <a:chExt cx="17991393" cy="5334000"/>
        </a:xfrm>
      </xdr:grpSpPr>
      <xdr:grpSp>
        <xdr:nvGrpSpPr>
          <xdr:cNvPr id="13" name="グループ化 12">
            <a:extLst>
              <a:ext uri="{FF2B5EF4-FFF2-40B4-BE49-F238E27FC236}">
                <a16:creationId xmlns:a16="http://schemas.microsoft.com/office/drawing/2014/main" id="{B26EB630-7AF5-4CF5-BAE8-60534FA2BC84}"/>
              </a:ext>
            </a:extLst>
          </xdr:cNvPr>
          <xdr:cNvGrpSpPr/>
        </xdr:nvGrpSpPr>
        <xdr:grpSpPr>
          <a:xfrm>
            <a:off x="381000" y="34728150"/>
            <a:ext cx="17991393" cy="5334000"/>
            <a:chOff x="381000" y="35052000"/>
            <a:chExt cx="17991393" cy="5334000"/>
          </a:xfrm>
        </xdr:grpSpPr>
        <xdr:grpSp>
          <xdr:nvGrpSpPr>
            <xdr:cNvPr id="16" name="グループ化 15">
              <a:extLst>
                <a:ext uri="{FF2B5EF4-FFF2-40B4-BE49-F238E27FC236}">
                  <a16:creationId xmlns:a16="http://schemas.microsoft.com/office/drawing/2014/main" id="{EE50358E-A37C-75C5-74A3-2B322634FB2A}"/>
                </a:ext>
              </a:extLst>
            </xdr:cNvPr>
            <xdr:cNvGrpSpPr/>
          </xdr:nvGrpSpPr>
          <xdr:grpSpPr>
            <a:xfrm>
              <a:off x="381000" y="35052000"/>
              <a:ext cx="17991393" cy="5334000"/>
              <a:chOff x="381000" y="35052000"/>
              <a:chExt cx="17991393" cy="5334000"/>
            </a:xfrm>
          </xdr:grpSpPr>
          <xdr:pic>
            <xdr:nvPicPr>
              <xdr:cNvPr id="61" name="図 60">
                <a:extLst>
                  <a:ext uri="{FF2B5EF4-FFF2-40B4-BE49-F238E27FC236}">
                    <a16:creationId xmlns:a16="http://schemas.microsoft.com/office/drawing/2014/main" id="{1A56F4AB-B331-6A81-5A80-70BC8EF023AC}"/>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81000" y="35052000"/>
                <a:ext cx="17991393" cy="5334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3" name="吹き出し: 折線 62">
                <a:extLst>
                  <a:ext uri="{FF2B5EF4-FFF2-40B4-BE49-F238E27FC236}">
                    <a16:creationId xmlns:a16="http://schemas.microsoft.com/office/drawing/2014/main" id="{91E0B32E-5779-2DB2-C685-70F2D53D16E2}"/>
                  </a:ext>
                </a:extLst>
              </xdr:cNvPr>
              <xdr:cNvSpPr/>
            </xdr:nvSpPr>
            <xdr:spPr>
              <a:xfrm>
                <a:off x="3495675" y="35156775"/>
                <a:ext cx="1354617" cy="718852"/>
              </a:xfrm>
              <a:prstGeom prst="borderCallout2">
                <a:avLst>
                  <a:gd name="adj1" fmla="val 40791"/>
                  <a:gd name="adj2" fmla="val -1190"/>
                  <a:gd name="adj3" fmla="val 41861"/>
                  <a:gd name="adj4" fmla="val -7605"/>
                  <a:gd name="adj5" fmla="val 92675"/>
                  <a:gd name="adj6" fmla="val -34347"/>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0000FF"/>
                    </a:solidFill>
                    <a:effectLst/>
                    <a:latin typeface="+mn-lt"/>
                    <a:ea typeface="+mn-ea"/>
                    <a:cs typeface="+mn-cs"/>
                  </a:rPr>
                  <a:t>★</a:t>
                </a:r>
                <a:r>
                  <a:rPr kumimoji="1" lang="ja-JP" altLang="ja-JP" sz="1200" b="1">
                    <a:solidFill>
                      <a:srgbClr val="0000FF"/>
                    </a:solidFill>
                    <a:effectLst/>
                    <a:latin typeface="+mn-lt"/>
                    <a:ea typeface="+mn-ea"/>
                    <a:cs typeface="+mn-cs"/>
                  </a:rPr>
                  <a:t> </a:t>
                </a:r>
                <a:r>
                  <a:rPr kumimoji="1" lang="ja-JP" altLang="en-US" sz="1200" b="1">
                    <a:solidFill>
                      <a:srgbClr val="0000FF"/>
                    </a:solidFill>
                    <a:effectLst/>
                    <a:latin typeface="+mn-lt"/>
                    <a:ea typeface="+mn-ea"/>
                    <a:cs typeface="+mn-cs"/>
                  </a:rPr>
                  <a:t>対象者の従業員コード番号を入力します！</a:t>
                </a:r>
                <a:endParaRPr kumimoji="1" lang="ja-JP" altLang="en-US" sz="1200" b="1">
                  <a:solidFill>
                    <a:srgbClr val="0000FF"/>
                  </a:solidFill>
                </a:endParaRPr>
              </a:p>
            </xdr:txBody>
          </xdr:sp>
        </xdr:grpSp>
        <xdr:sp macro="" textlink="">
          <xdr:nvSpPr>
            <xdr:cNvPr id="17" name="楕円 16">
              <a:extLst>
                <a:ext uri="{FF2B5EF4-FFF2-40B4-BE49-F238E27FC236}">
                  <a16:creationId xmlns:a16="http://schemas.microsoft.com/office/drawing/2014/main" id="{A3EF967C-B1A3-24F3-9B24-FEFB95BD5698}"/>
                </a:ext>
              </a:extLst>
            </xdr:cNvPr>
            <xdr:cNvSpPr/>
          </xdr:nvSpPr>
          <xdr:spPr>
            <a:xfrm rot="3340558">
              <a:off x="2962274" y="37147499"/>
              <a:ext cx="2581275" cy="310515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折線 59">
              <a:extLst>
                <a:ext uri="{FF2B5EF4-FFF2-40B4-BE49-F238E27FC236}">
                  <a16:creationId xmlns:a16="http://schemas.microsoft.com/office/drawing/2014/main" id="{3C805A73-A52F-96D9-A78F-C536A87060CE}"/>
                </a:ext>
              </a:extLst>
            </xdr:cNvPr>
            <xdr:cNvSpPr/>
          </xdr:nvSpPr>
          <xdr:spPr>
            <a:xfrm>
              <a:off x="2809875" y="37671375"/>
              <a:ext cx="1485900" cy="718852"/>
            </a:xfrm>
            <a:prstGeom prst="borderCallout2">
              <a:avLst>
                <a:gd name="adj1" fmla="val 104392"/>
                <a:gd name="adj2" fmla="val 68295"/>
                <a:gd name="adj3" fmla="val 118713"/>
                <a:gd name="adj4" fmla="val 52902"/>
                <a:gd name="adj5" fmla="val 150977"/>
                <a:gd name="adj6" fmla="val 35236"/>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0000FF"/>
                  </a:solidFill>
                  <a:effectLst/>
                  <a:latin typeface="+mn-lt"/>
                  <a:ea typeface="+mn-ea"/>
                  <a:cs typeface="+mn-cs"/>
                </a:rPr>
                <a:t>★</a:t>
              </a:r>
              <a:r>
                <a:rPr kumimoji="1" lang="ja-JP" altLang="ja-JP" sz="1200" b="1">
                  <a:solidFill>
                    <a:srgbClr val="0000FF"/>
                  </a:solidFill>
                  <a:effectLst/>
                  <a:latin typeface="+mn-lt"/>
                  <a:ea typeface="+mn-ea"/>
                  <a:cs typeface="+mn-cs"/>
                </a:rPr>
                <a:t> </a:t>
              </a:r>
              <a:r>
                <a:rPr kumimoji="1" lang="ja-JP" altLang="en-US" sz="1200" b="1">
                  <a:solidFill>
                    <a:srgbClr val="0000FF"/>
                  </a:solidFill>
                  <a:effectLst/>
                  <a:latin typeface="+mn-lt"/>
                  <a:ea typeface="+mn-ea"/>
                  <a:cs typeface="+mn-cs"/>
                </a:rPr>
                <a:t>社会保険促進手当＝標準報酬額</a:t>
              </a:r>
              <a:r>
                <a:rPr kumimoji="1" lang="en-US" altLang="ja-JP" sz="1200" b="1">
                  <a:solidFill>
                    <a:srgbClr val="0000FF"/>
                  </a:solidFill>
                  <a:effectLst/>
                  <a:latin typeface="+mn-lt"/>
                  <a:ea typeface="+mn-ea"/>
                  <a:cs typeface="+mn-cs"/>
                </a:rPr>
                <a:t>×15.0</a:t>
              </a:r>
              <a:r>
                <a:rPr kumimoji="1" lang="ja-JP" altLang="en-US" sz="1200" b="1">
                  <a:solidFill>
                    <a:srgbClr val="0000FF"/>
                  </a:solidFill>
                  <a:effectLst/>
                  <a:latin typeface="+mn-lt"/>
                  <a:ea typeface="+mn-ea"/>
                  <a:cs typeface="+mn-cs"/>
                </a:rPr>
                <a:t>％</a:t>
              </a:r>
              <a:endParaRPr kumimoji="1" lang="ja-JP" altLang="en-US" sz="1200" b="1">
                <a:solidFill>
                  <a:srgbClr val="0000FF"/>
                </a:solidFill>
              </a:endParaRPr>
            </a:p>
          </xdr:txBody>
        </xdr:sp>
      </xdr:grpSp>
      <xdr:pic>
        <xdr:nvPicPr>
          <xdr:cNvPr id="11" name="図 10">
            <a:extLst>
              <a:ext uri="{FF2B5EF4-FFF2-40B4-BE49-F238E27FC236}">
                <a16:creationId xmlns:a16="http://schemas.microsoft.com/office/drawing/2014/main" id="{E3B91692-F6E2-4690-87B7-DF9CE55B6157}"/>
              </a:ext>
            </a:extLst>
          </xdr:cNvPr>
          <xdr:cNvPicPr>
            <a:picLocks noChangeAspect="1"/>
          </xdr:cNvPicPr>
        </xdr:nvPicPr>
        <xdr:blipFill>
          <a:blip xmlns:r="http://schemas.openxmlformats.org/officeDocument/2006/relationships" r:embed="rId23"/>
          <a:stretch>
            <a:fillRect/>
          </a:stretch>
        </xdr:blipFill>
        <xdr:spPr>
          <a:xfrm>
            <a:off x="6286500" y="37023675"/>
            <a:ext cx="2749534" cy="914400"/>
          </a:xfrm>
          <a:prstGeom prst="rect">
            <a:avLst/>
          </a:prstGeom>
        </xdr:spPr>
      </xdr:pic>
    </xdr:grpSp>
    <xdr:clientData/>
  </xdr:twoCellAnchor>
  <xdr:twoCellAnchor editAs="oneCell">
    <xdr:from>
      <xdr:col>2</xdr:col>
      <xdr:colOff>495301</xdr:colOff>
      <xdr:row>200</xdr:row>
      <xdr:rowOff>209550</xdr:rowOff>
    </xdr:from>
    <xdr:to>
      <xdr:col>25</xdr:col>
      <xdr:colOff>171451</xdr:colOff>
      <xdr:row>223</xdr:row>
      <xdr:rowOff>60767</xdr:rowOff>
    </xdr:to>
    <xdr:pic>
      <xdr:nvPicPr>
        <xdr:cNvPr id="39" name="図 38">
          <a:extLst>
            <a:ext uri="{FF2B5EF4-FFF2-40B4-BE49-F238E27FC236}">
              <a16:creationId xmlns:a16="http://schemas.microsoft.com/office/drawing/2014/main" id="{69C61E69-8EA9-953B-3626-793766CB1F6F}"/>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876301" y="55654575"/>
          <a:ext cx="15468600" cy="6204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16</xdr:row>
      <xdr:rowOff>190500</xdr:rowOff>
    </xdr:from>
    <xdr:to>
      <xdr:col>5</xdr:col>
      <xdr:colOff>424484</xdr:colOff>
      <xdr:row>19</xdr:row>
      <xdr:rowOff>4417</xdr:rowOff>
    </xdr:to>
    <xdr:sp macro="" textlink="">
      <xdr:nvSpPr>
        <xdr:cNvPr id="42" name="四角形: 角を丸くする 41">
          <a:extLst>
            <a:ext uri="{FF2B5EF4-FFF2-40B4-BE49-F238E27FC236}">
              <a16:creationId xmlns:a16="http://schemas.microsoft.com/office/drawing/2014/main" id="{4024F96D-C3BF-45BE-9A4D-7A3EDC70E36B}"/>
            </a:ext>
          </a:extLst>
        </xdr:cNvPr>
        <xdr:cNvSpPr/>
      </xdr:nvSpPr>
      <xdr:spPr>
        <a:xfrm>
          <a:off x="857250" y="5505450"/>
          <a:ext cx="1834184" cy="1242667"/>
        </a:xfrm>
        <a:prstGeom prst="roundRect">
          <a:avLst/>
        </a:prstGeom>
        <a:solidFill>
          <a:srgbClr val="C00000"/>
        </a:solidFill>
        <a:ln>
          <a:solidFill>
            <a:srgbClr val="339933"/>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t>併用メニュー</a:t>
          </a:r>
          <a:endParaRPr kumimoji="1" lang="en-US" altLang="ja-JP" sz="1800" b="1"/>
        </a:p>
        <a:p>
          <a:pPr algn="ctr"/>
          <a:r>
            <a:rPr kumimoji="1" lang="ja-JP" altLang="en-US" sz="1800" b="1"/>
            <a:t>概要</a:t>
          </a:r>
        </a:p>
      </xdr:txBody>
    </xdr:sp>
    <xdr:clientData/>
  </xdr:twoCellAnchor>
  <xdr:twoCellAnchor>
    <xdr:from>
      <xdr:col>20</xdr:col>
      <xdr:colOff>428625</xdr:colOff>
      <xdr:row>1</xdr:row>
      <xdr:rowOff>390525</xdr:rowOff>
    </xdr:from>
    <xdr:to>
      <xdr:col>29</xdr:col>
      <xdr:colOff>19050</xdr:colOff>
      <xdr:row>20</xdr:row>
      <xdr:rowOff>228600</xdr:rowOff>
    </xdr:to>
    <xdr:grpSp>
      <xdr:nvGrpSpPr>
        <xdr:cNvPr id="43" name="グループ化 42">
          <a:extLst>
            <a:ext uri="{FF2B5EF4-FFF2-40B4-BE49-F238E27FC236}">
              <a16:creationId xmlns:a16="http://schemas.microsoft.com/office/drawing/2014/main" id="{DAE41051-617B-4722-9E43-DAF9EB5BE5B2}"/>
            </a:ext>
          </a:extLst>
        </xdr:cNvPr>
        <xdr:cNvGrpSpPr/>
      </xdr:nvGrpSpPr>
      <xdr:grpSpPr>
        <a:xfrm>
          <a:off x="13213292" y="559858"/>
          <a:ext cx="5781675" cy="6897159"/>
          <a:chOff x="13944600" y="219075"/>
          <a:chExt cx="5162550" cy="6181724"/>
        </a:xfrm>
      </xdr:grpSpPr>
      <xdr:grpSp>
        <xdr:nvGrpSpPr>
          <xdr:cNvPr id="44" name="グループ化 43">
            <a:extLst>
              <a:ext uri="{FF2B5EF4-FFF2-40B4-BE49-F238E27FC236}">
                <a16:creationId xmlns:a16="http://schemas.microsoft.com/office/drawing/2014/main" id="{AF7C89B6-79E5-2206-5271-AFEC91BEEAA2}"/>
              </a:ext>
            </a:extLst>
          </xdr:cNvPr>
          <xdr:cNvGrpSpPr/>
        </xdr:nvGrpSpPr>
        <xdr:grpSpPr>
          <a:xfrm>
            <a:off x="13973175" y="219075"/>
            <a:ext cx="5124450" cy="5362376"/>
            <a:chOff x="6000750" y="13839825"/>
            <a:chExt cx="5124450" cy="5362376"/>
          </a:xfrm>
        </xdr:grpSpPr>
        <xdr:grpSp>
          <xdr:nvGrpSpPr>
            <xdr:cNvPr id="47" name="グループ化 46">
              <a:extLst>
                <a:ext uri="{FF2B5EF4-FFF2-40B4-BE49-F238E27FC236}">
                  <a16:creationId xmlns:a16="http://schemas.microsoft.com/office/drawing/2014/main" id="{1E13529A-C4D2-5AB9-7C49-A45518BF791E}"/>
                </a:ext>
              </a:extLst>
            </xdr:cNvPr>
            <xdr:cNvGrpSpPr/>
          </xdr:nvGrpSpPr>
          <xdr:grpSpPr>
            <a:xfrm>
              <a:off x="6000750" y="18420751"/>
              <a:ext cx="5114925" cy="781450"/>
              <a:chOff x="6000750" y="18420751"/>
              <a:chExt cx="5114925" cy="781450"/>
            </a:xfrm>
          </xdr:grpSpPr>
          <xdr:pic>
            <xdr:nvPicPr>
              <xdr:cNvPr id="49" name="図 48">
                <a:extLst>
                  <a:ext uri="{FF2B5EF4-FFF2-40B4-BE49-F238E27FC236}">
                    <a16:creationId xmlns:a16="http://schemas.microsoft.com/office/drawing/2014/main" id="{BC945CD1-E0C0-7C64-294A-FB41E2F43E64}"/>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353289" y="18485550"/>
                <a:ext cx="1371611" cy="59641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図 49">
                <a:extLst>
                  <a:ext uri="{FF2B5EF4-FFF2-40B4-BE49-F238E27FC236}">
                    <a16:creationId xmlns:a16="http://schemas.microsoft.com/office/drawing/2014/main" id="{1DE1E9A7-4E8C-51F9-7010-B8EDAB070929}"/>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8762719" y="18461014"/>
                <a:ext cx="1162331" cy="56061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9" name="図 68">
                <a:extLst>
                  <a:ext uri="{FF2B5EF4-FFF2-40B4-BE49-F238E27FC236}">
                    <a16:creationId xmlns:a16="http://schemas.microsoft.com/office/drawing/2014/main" id="{26E2715B-1A13-9752-F6A5-8A5CED28255E}"/>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9982468" y="18420751"/>
                <a:ext cx="1133207" cy="7814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図 71">
                <a:extLst>
                  <a:ext uri="{FF2B5EF4-FFF2-40B4-BE49-F238E27FC236}">
                    <a16:creationId xmlns:a16="http://schemas.microsoft.com/office/drawing/2014/main" id="{7432A2C9-3386-F564-E1BF-E4156A4B3D95}"/>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000750" y="18446680"/>
                <a:ext cx="1343025" cy="668237"/>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48" name="図 47">
              <a:extLst>
                <a:ext uri="{FF2B5EF4-FFF2-40B4-BE49-F238E27FC236}">
                  <a16:creationId xmlns:a16="http://schemas.microsoft.com/office/drawing/2014/main" id="{7DC55539-F429-C3E8-622B-958F2FC0AB24}"/>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019800" y="13839825"/>
              <a:ext cx="5105400" cy="4629150"/>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45" name="図 44">
            <a:extLst>
              <a:ext uri="{FF2B5EF4-FFF2-40B4-BE49-F238E27FC236}">
                <a16:creationId xmlns:a16="http://schemas.microsoft.com/office/drawing/2014/main" id="{C1418728-6437-2F65-55EB-90A9B3DC24ED}"/>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3944600" y="5477082"/>
            <a:ext cx="5162550" cy="923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 name="楕円 45">
            <a:extLst>
              <a:ext uri="{FF2B5EF4-FFF2-40B4-BE49-F238E27FC236}">
                <a16:creationId xmlns:a16="http://schemas.microsoft.com/office/drawing/2014/main" id="{300F4B46-C5E6-74C6-1D7B-B99EBCC82BEE}"/>
              </a:ext>
            </a:extLst>
          </xdr:cNvPr>
          <xdr:cNvSpPr/>
        </xdr:nvSpPr>
        <xdr:spPr>
          <a:xfrm>
            <a:off x="15249871" y="4801929"/>
            <a:ext cx="1466850" cy="71867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3</xdr:col>
      <xdr:colOff>200025</xdr:colOff>
      <xdr:row>102</xdr:row>
      <xdr:rowOff>59919</xdr:rowOff>
    </xdr:from>
    <xdr:to>
      <xdr:col>21</xdr:col>
      <xdr:colOff>590550</xdr:colOff>
      <xdr:row>121</xdr:row>
      <xdr:rowOff>247650</xdr:rowOff>
    </xdr:to>
    <xdr:pic>
      <xdr:nvPicPr>
        <xdr:cNvPr id="4" name="図 3">
          <a:extLst>
            <a:ext uri="{FF2B5EF4-FFF2-40B4-BE49-F238E27FC236}">
              <a16:creationId xmlns:a16="http://schemas.microsoft.com/office/drawing/2014/main" id="{CB83BC49-7B9F-FBF1-A09F-62E88B3EFB45}"/>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095375" y="35769144"/>
          <a:ext cx="12925425" cy="5436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150</xdr:row>
      <xdr:rowOff>114301</xdr:rowOff>
    </xdr:from>
    <xdr:to>
      <xdr:col>26</xdr:col>
      <xdr:colOff>0</xdr:colOff>
      <xdr:row>171</xdr:row>
      <xdr:rowOff>0</xdr:rowOff>
    </xdr:to>
    <xdr:pic>
      <xdr:nvPicPr>
        <xdr:cNvPr id="12" name="図 11">
          <a:extLst>
            <a:ext uri="{FF2B5EF4-FFF2-40B4-BE49-F238E27FC236}">
              <a16:creationId xmlns:a16="http://schemas.microsoft.com/office/drawing/2014/main" id="{1BCFC4CC-E118-1633-441A-75DBD7A5A4C6}"/>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95300" y="48342551"/>
          <a:ext cx="16284575" cy="555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0</xdr:colOff>
      <xdr:row>32</xdr:row>
      <xdr:rowOff>0</xdr:rowOff>
    </xdr:from>
    <xdr:to>
      <xdr:col>21</xdr:col>
      <xdr:colOff>314325</xdr:colOff>
      <xdr:row>33</xdr:row>
      <xdr:rowOff>104775</xdr:rowOff>
    </xdr:to>
    <xdr:sp macro="" textlink="">
      <xdr:nvSpPr>
        <xdr:cNvPr id="27" name="テキスト ボックス 26">
          <a:extLst>
            <a:ext uri="{FF2B5EF4-FFF2-40B4-BE49-F238E27FC236}">
              <a16:creationId xmlns:a16="http://schemas.microsoft.com/office/drawing/2014/main" id="{72AF8F93-1AF7-484E-8AE1-F5A491BD06B4}"/>
            </a:ext>
          </a:extLst>
        </xdr:cNvPr>
        <xdr:cNvSpPr txBox="1"/>
      </xdr:nvSpPr>
      <xdr:spPr>
        <a:xfrm>
          <a:off x="8629650" y="13506450"/>
          <a:ext cx="5114925" cy="3905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0000FF"/>
              </a:solidFill>
            </a:rPr>
            <a:t>◇このソフトでの算出データは目安としてご利用下さい。</a:t>
          </a:r>
        </a:p>
      </xdr:txBody>
    </xdr:sp>
    <xdr:clientData/>
  </xdr:twoCellAnchor>
  <xdr:twoCellAnchor>
    <xdr:from>
      <xdr:col>8</xdr:col>
      <xdr:colOff>409575</xdr:colOff>
      <xdr:row>146</xdr:row>
      <xdr:rowOff>95250</xdr:rowOff>
    </xdr:from>
    <xdr:to>
      <xdr:col>25</xdr:col>
      <xdr:colOff>10292</xdr:colOff>
      <xdr:row>153</xdr:row>
      <xdr:rowOff>95754</xdr:rowOff>
    </xdr:to>
    <xdr:grpSp>
      <xdr:nvGrpSpPr>
        <xdr:cNvPr id="28" name="グループ化 27">
          <a:extLst>
            <a:ext uri="{FF2B5EF4-FFF2-40B4-BE49-F238E27FC236}">
              <a16:creationId xmlns:a16="http://schemas.microsoft.com/office/drawing/2014/main" id="{5AF8C230-CE5A-4193-B8B6-F610E179672E}"/>
            </a:ext>
          </a:extLst>
        </xdr:cNvPr>
        <xdr:cNvGrpSpPr/>
      </xdr:nvGrpSpPr>
      <xdr:grpSpPr>
        <a:xfrm>
          <a:off x="4748742" y="43677417"/>
          <a:ext cx="11485800" cy="1926670"/>
          <a:chOff x="4941193" y="43538272"/>
          <a:chExt cx="11449817" cy="1934079"/>
        </a:xfrm>
      </xdr:grpSpPr>
      <xdr:sp macro="" textlink="">
        <xdr:nvSpPr>
          <xdr:cNvPr id="30" name="矢印: 右 29">
            <a:extLst>
              <a:ext uri="{FF2B5EF4-FFF2-40B4-BE49-F238E27FC236}">
                <a16:creationId xmlns:a16="http://schemas.microsoft.com/office/drawing/2014/main" id="{BFC7ABF0-2459-E4CF-9FEC-CD91DEC4A2CD}"/>
              </a:ext>
            </a:extLst>
          </xdr:cNvPr>
          <xdr:cNvSpPr/>
        </xdr:nvSpPr>
        <xdr:spPr>
          <a:xfrm rot="20882003">
            <a:off x="11424648" y="43823869"/>
            <a:ext cx="4966362" cy="108000"/>
          </a:xfrm>
          <a:prstGeom prst="rightArrow">
            <a:avLst/>
          </a:prstGeom>
          <a:solidFill>
            <a:srgbClr val="0000CC"/>
          </a:solidFill>
          <a:ln>
            <a:solidFill>
              <a:srgbClr val="0000C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矢印: 右 35">
            <a:extLst>
              <a:ext uri="{FF2B5EF4-FFF2-40B4-BE49-F238E27FC236}">
                <a16:creationId xmlns:a16="http://schemas.microsoft.com/office/drawing/2014/main" id="{844128D7-07A4-E232-D663-B5E1B4192BD7}"/>
              </a:ext>
            </a:extLst>
          </xdr:cNvPr>
          <xdr:cNvSpPr/>
        </xdr:nvSpPr>
        <xdr:spPr>
          <a:xfrm rot="423835" flipH="1">
            <a:off x="4941193" y="43538272"/>
            <a:ext cx="3871174" cy="108000"/>
          </a:xfrm>
          <a:prstGeom prst="rightArrow">
            <a:avLst/>
          </a:prstGeom>
          <a:solidFill>
            <a:srgbClr val="0000CC"/>
          </a:solidFill>
          <a:ln>
            <a:solidFill>
              <a:srgbClr val="0000C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正方形/長方形 36">
            <a:extLst>
              <a:ext uri="{FF2B5EF4-FFF2-40B4-BE49-F238E27FC236}">
                <a16:creationId xmlns:a16="http://schemas.microsoft.com/office/drawing/2014/main" id="{5A06B2A3-500A-4486-9292-80CC35557C62}"/>
              </a:ext>
            </a:extLst>
          </xdr:cNvPr>
          <xdr:cNvSpPr/>
        </xdr:nvSpPr>
        <xdr:spPr>
          <a:xfrm>
            <a:off x="8743950" y="43586401"/>
            <a:ext cx="2714625" cy="1885950"/>
          </a:xfrm>
          <a:prstGeom prst="rect">
            <a:avLst/>
          </a:prstGeom>
          <a:solidFill>
            <a:schemeClr val="bg1"/>
          </a:solidFill>
          <a:ln>
            <a:solidFill>
              <a:srgbClr val="0000CC"/>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b="1" u="sng">
                <a:solidFill>
                  <a:srgbClr val="FF0000"/>
                </a:solidFill>
              </a:rPr>
              <a:t>チェック！</a:t>
            </a:r>
            <a:endParaRPr kumimoji="1" lang="en-US" altLang="ja-JP" sz="1600" b="1" u="sng">
              <a:solidFill>
                <a:srgbClr val="FF0000"/>
              </a:solidFill>
            </a:endParaRPr>
          </a:p>
          <a:p>
            <a:pPr algn="l"/>
            <a:r>
              <a:rPr kumimoji="1" lang="ja-JP" altLang="en-US" sz="1600" b="1">
                <a:solidFill>
                  <a:srgbClr val="0000CC"/>
                </a:solidFill>
              </a:rPr>
              <a:t>社会保険適用促進手当</a:t>
            </a:r>
            <a:endParaRPr kumimoji="1" lang="en-US" altLang="ja-JP" sz="1600" b="1">
              <a:solidFill>
                <a:srgbClr val="0000CC"/>
              </a:solidFill>
            </a:endParaRPr>
          </a:p>
          <a:p>
            <a:pPr algn="l"/>
            <a:r>
              <a:rPr kumimoji="1" lang="ja-JP" altLang="en-US" sz="1600" b="1">
                <a:solidFill>
                  <a:srgbClr val="0000CC"/>
                </a:solidFill>
              </a:rPr>
              <a:t>　≧ 標準報酬月額</a:t>
            </a:r>
            <a:r>
              <a:rPr kumimoji="1" lang="en-US" altLang="ja-JP" sz="1600" b="1">
                <a:solidFill>
                  <a:srgbClr val="0000CC"/>
                </a:solidFill>
              </a:rPr>
              <a:t>×15.0</a:t>
            </a:r>
            <a:r>
              <a:rPr kumimoji="1" lang="ja-JP" altLang="en-US" sz="1600" b="1">
                <a:solidFill>
                  <a:srgbClr val="0000CC"/>
                </a:solidFill>
              </a:rPr>
              <a:t>％</a:t>
            </a:r>
            <a:endParaRPr kumimoji="1" lang="en-US" altLang="ja-JP" sz="1600" b="1">
              <a:solidFill>
                <a:srgbClr val="0000CC"/>
              </a:solidFill>
            </a:endParaRPr>
          </a:p>
          <a:p>
            <a:pPr algn="l"/>
            <a:r>
              <a:rPr kumimoji="1" lang="en-US" altLang="ja-JP" sz="1400" b="1">
                <a:solidFill>
                  <a:schemeClr val="tx1"/>
                </a:solidFill>
              </a:rPr>
              <a:t>※ </a:t>
            </a:r>
            <a:r>
              <a:rPr kumimoji="1" lang="ja-JP" altLang="en-US" sz="1400" b="1">
                <a:solidFill>
                  <a:schemeClr val="tx1"/>
                </a:solidFill>
              </a:rPr>
              <a:t>社会保険適用促進手当は、</a:t>
            </a:r>
            <a:endParaRPr kumimoji="1" lang="en-US" altLang="ja-JP" sz="1400" b="1">
              <a:solidFill>
                <a:schemeClr val="tx1"/>
              </a:solidFill>
            </a:endParaRPr>
          </a:p>
          <a:p>
            <a:pPr algn="l"/>
            <a:r>
              <a:rPr kumimoji="1" lang="ja-JP" altLang="en-US" sz="1400" b="1">
                <a:solidFill>
                  <a:schemeClr val="tx1"/>
                </a:solidFill>
              </a:rPr>
              <a:t>　標準報酬月額が</a:t>
            </a:r>
            <a:r>
              <a:rPr kumimoji="1" lang="en-US" altLang="ja-JP" sz="1400" b="1">
                <a:solidFill>
                  <a:schemeClr val="tx1"/>
                </a:solidFill>
              </a:rPr>
              <a:t>104</a:t>
            </a:r>
            <a:r>
              <a:rPr kumimoji="1" lang="ja-JP" altLang="en-US" sz="1400" b="1">
                <a:solidFill>
                  <a:schemeClr val="tx1"/>
                </a:solidFill>
              </a:rPr>
              <a:t>，</a:t>
            </a:r>
            <a:r>
              <a:rPr kumimoji="1" lang="en-US" altLang="ja-JP" sz="1400" b="1">
                <a:solidFill>
                  <a:schemeClr val="tx1"/>
                </a:solidFill>
              </a:rPr>
              <a:t>000</a:t>
            </a:r>
            <a:r>
              <a:rPr kumimoji="1" lang="ja-JP" altLang="en-US" sz="1400" b="1">
                <a:solidFill>
                  <a:schemeClr val="tx1"/>
                </a:solidFill>
              </a:rPr>
              <a:t>円までは社会保険の計算から除外、超えると算入されることに注意！</a:t>
            </a:r>
            <a:endParaRPr kumimoji="1" lang="en-US" altLang="ja-JP" sz="1400" b="1">
              <a:solidFill>
                <a:schemeClr val="tx1"/>
              </a:solidFill>
            </a:endParaRPr>
          </a:p>
          <a:p>
            <a:pPr algn="l"/>
            <a:endParaRPr kumimoji="1" lang="ja-JP" altLang="en-US" sz="1600" b="1">
              <a:solidFill>
                <a:srgbClr val="0000CC"/>
              </a:solidFill>
            </a:endParaRPr>
          </a:p>
        </xdr:txBody>
      </xdr:sp>
    </xdr:grpSp>
    <xdr:clientData/>
  </xdr:twoCellAnchor>
  <xdr:twoCellAnchor>
    <xdr:from>
      <xdr:col>7</xdr:col>
      <xdr:colOff>628648</xdr:colOff>
      <xdr:row>24</xdr:row>
      <xdr:rowOff>361950</xdr:rowOff>
    </xdr:from>
    <xdr:to>
      <xdr:col>19</xdr:col>
      <xdr:colOff>409575</xdr:colOff>
      <xdr:row>29</xdr:row>
      <xdr:rowOff>82341</xdr:rowOff>
    </xdr:to>
    <xdr:grpSp>
      <xdr:nvGrpSpPr>
        <xdr:cNvPr id="34" name="グループ化 33">
          <a:extLst>
            <a:ext uri="{FF2B5EF4-FFF2-40B4-BE49-F238E27FC236}">
              <a16:creationId xmlns:a16="http://schemas.microsoft.com/office/drawing/2014/main" id="{28889B68-45C4-6C63-D327-F1941DAB9536}"/>
            </a:ext>
          </a:extLst>
        </xdr:cNvPr>
        <xdr:cNvGrpSpPr/>
      </xdr:nvGrpSpPr>
      <xdr:grpSpPr>
        <a:xfrm>
          <a:off x="4279898" y="9495367"/>
          <a:ext cx="8226427" cy="2101641"/>
          <a:chOff x="4210048" y="9934575"/>
          <a:chExt cx="8201027" cy="2101641"/>
        </a:xfrm>
      </xdr:grpSpPr>
      <xdr:pic>
        <xdr:nvPicPr>
          <xdr:cNvPr id="52" name="図 51">
            <a:extLst>
              <a:ext uri="{FF2B5EF4-FFF2-40B4-BE49-F238E27FC236}">
                <a16:creationId xmlns:a16="http://schemas.microsoft.com/office/drawing/2014/main" id="{8E0EC263-0277-6712-9B74-FFDFA0E89376}"/>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210048" y="9934575"/>
            <a:ext cx="8183241" cy="210164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3" name="楕円 32">
            <a:extLst>
              <a:ext uri="{FF2B5EF4-FFF2-40B4-BE49-F238E27FC236}">
                <a16:creationId xmlns:a16="http://schemas.microsoft.com/office/drawing/2014/main" id="{AA91C26F-7F62-E511-48CF-90408BA901AD}"/>
              </a:ext>
            </a:extLst>
          </xdr:cNvPr>
          <xdr:cNvSpPr/>
        </xdr:nvSpPr>
        <xdr:spPr>
          <a:xfrm>
            <a:off x="9372599" y="10239375"/>
            <a:ext cx="3038476" cy="628650"/>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153504</xdr:colOff>
      <xdr:row>17</xdr:row>
      <xdr:rowOff>260764</xdr:rowOff>
    </xdr:from>
    <xdr:to>
      <xdr:col>16</xdr:col>
      <xdr:colOff>592481</xdr:colOff>
      <xdr:row>23</xdr:row>
      <xdr:rowOff>441404</xdr:rowOff>
    </xdr:to>
    <xdr:grpSp>
      <xdr:nvGrpSpPr>
        <xdr:cNvPr id="38" name="グループ化 37">
          <a:extLst>
            <a:ext uri="{FF2B5EF4-FFF2-40B4-BE49-F238E27FC236}">
              <a16:creationId xmlns:a16="http://schemas.microsoft.com/office/drawing/2014/main" id="{2DCB1D63-009E-575D-A339-11F59B6601D4}"/>
            </a:ext>
          </a:extLst>
        </xdr:cNvPr>
        <xdr:cNvGrpSpPr/>
      </xdr:nvGrpSpPr>
      <xdr:grpSpPr>
        <a:xfrm>
          <a:off x="3804754" y="6060431"/>
          <a:ext cx="6820727" cy="3038140"/>
          <a:chOff x="3792054" y="6051964"/>
          <a:chExt cx="6801677" cy="3038140"/>
        </a:xfrm>
      </xdr:grpSpPr>
      <xdr:pic>
        <xdr:nvPicPr>
          <xdr:cNvPr id="18" name="図 17">
            <a:extLst>
              <a:ext uri="{FF2B5EF4-FFF2-40B4-BE49-F238E27FC236}">
                <a16:creationId xmlns:a16="http://schemas.microsoft.com/office/drawing/2014/main" id="{B3EFBFCD-D584-D7A9-BB30-0A5E1781581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792054" y="6051964"/>
            <a:ext cx="6801677" cy="30381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5" name="楕円 34">
            <a:extLst>
              <a:ext uri="{FF2B5EF4-FFF2-40B4-BE49-F238E27FC236}">
                <a16:creationId xmlns:a16="http://schemas.microsoft.com/office/drawing/2014/main" id="{AB5460DE-E7EB-406C-BCF3-EF8787426C26}"/>
              </a:ext>
            </a:extLst>
          </xdr:cNvPr>
          <xdr:cNvSpPr/>
        </xdr:nvSpPr>
        <xdr:spPr>
          <a:xfrm>
            <a:off x="3819525" y="7686675"/>
            <a:ext cx="723900" cy="628650"/>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21</xdr:col>
      <xdr:colOff>304800</xdr:colOff>
      <xdr:row>24</xdr:row>
      <xdr:rowOff>133350</xdr:rowOff>
    </xdr:from>
    <xdr:to>
      <xdr:col>27</xdr:col>
      <xdr:colOff>514985</xdr:colOff>
      <xdr:row>26</xdr:row>
      <xdr:rowOff>114300</xdr:rowOff>
    </xdr:to>
    <xdr:pic>
      <xdr:nvPicPr>
        <xdr:cNvPr id="41" name="図 40">
          <a:extLst>
            <a:ext uri="{FF2B5EF4-FFF2-40B4-BE49-F238E27FC236}">
              <a16:creationId xmlns:a16="http://schemas.microsoft.com/office/drawing/2014/main" id="{A7B4FF2B-5B26-DEB8-C634-370A2486077E}"/>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3735050" y="9258300"/>
          <a:ext cx="4324985" cy="933450"/>
        </a:xfrm>
        <a:prstGeom prst="rect">
          <a:avLst/>
        </a:prstGeom>
        <a:noFill/>
        <a:ln>
          <a:noFill/>
        </a:ln>
      </xdr:spPr>
    </xdr:pic>
    <xdr:clientData/>
  </xdr:twoCellAnchor>
  <xdr:twoCellAnchor>
    <xdr:from>
      <xdr:col>26</xdr:col>
      <xdr:colOff>0</xdr:colOff>
      <xdr:row>159</xdr:row>
      <xdr:rowOff>123825</xdr:rowOff>
    </xdr:from>
    <xdr:to>
      <xdr:col>27</xdr:col>
      <xdr:colOff>596382</xdr:colOff>
      <xdr:row>163</xdr:row>
      <xdr:rowOff>19038</xdr:rowOff>
    </xdr:to>
    <xdr:grpSp>
      <xdr:nvGrpSpPr>
        <xdr:cNvPr id="31" name="グループ化 30">
          <a:extLst>
            <a:ext uri="{FF2B5EF4-FFF2-40B4-BE49-F238E27FC236}">
              <a16:creationId xmlns:a16="http://schemas.microsoft.com/office/drawing/2014/main" id="{B430E4A2-E0E5-489D-BDE2-9489ACCDD743}"/>
            </a:ext>
          </a:extLst>
        </xdr:cNvPr>
        <xdr:cNvGrpSpPr/>
      </xdr:nvGrpSpPr>
      <xdr:grpSpPr>
        <a:xfrm>
          <a:off x="16912167" y="47283158"/>
          <a:ext cx="1284298" cy="995880"/>
          <a:chOff x="14752357" y="5094203"/>
          <a:chExt cx="1002005" cy="667946"/>
        </a:xfrm>
      </xdr:grpSpPr>
      <xdr:sp macro="" textlink="">
        <xdr:nvSpPr>
          <xdr:cNvPr id="62" name="正方形/長方形 61">
            <a:extLst>
              <a:ext uri="{FF2B5EF4-FFF2-40B4-BE49-F238E27FC236}">
                <a16:creationId xmlns:a16="http://schemas.microsoft.com/office/drawing/2014/main" id="{A4BD524C-8B92-7914-5DAE-D0AC386C342C}"/>
              </a:ext>
            </a:extLst>
          </xdr:cNvPr>
          <xdr:cNvSpPr/>
        </xdr:nvSpPr>
        <xdr:spPr>
          <a:xfrm>
            <a:off x="14890905" y="5094203"/>
            <a:ext cx="863457" cy="667946"/>
          </a:xfrm>
          <a:prstGeom prst="rect">
            <a:avLst/>
          </a:prstGeom>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指標は、個別に移動して提案して下さい！）</a:t>
            </a:r>
          </a:p>
        </xdr:txBody>
      </xdr:sp>
      <xdr:sp macro="" textlink="">
        <xdr:nvSpPr>
          <xdr:cNvPr id="71" name="矢印: 左 70">
            <a:extLst>
              <a:ext uri="{FF2B5EF4-FFF2-40B4-BE49-F238E27FC236}">
                <a16:creationId xmlns:a16="http://schemas.microsoft.com/office/drawing/2014/main" id="{919E4B8B-1F97-353E-BE83-2C7469BAF1BD}"/>
              </a:ext>
            </a:extLst>
          </xdr:cNvPr>
          <xdr:cNvSpPr/>
        </xdr:nvSpPr>
        <xdr:spPr>
          <a:xfrm>
            <a:off x="14752357" y="5324274"/>
            <a:ext cx="138545" cy="207817"/>
          </a:xfrm>
          <a:prstGeom prst="leftArrow">
            <a:avLst/>
          </a:prstGeom>
          <a:solidFill>
            <a:srgbClr val="FFFF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19</xdr:col>
      <xdr:colOff>447675</xdr:colOff>
      <xdr:row>21</xdr:row>
      <xdr:rowOff>219075</xdr:rowOff>
    </xdr:from>
    <xdr:to>
      <xdr:col>28</xdr:col>
      <xdr:colOff>571500</xdr:colOff>
      <xdr:row>22</xdr:row>
      <xdr:rowOff>462825</xdr:rowOff>
    </xdr:to>
    <xdr:sp macro="" textlink="">
      <xdr:nvSpPr>
        <xdr:cNvPr id="74" name="四角形: 角を丸くする 73">
          <a:extLst>
            <a:ext uri="{FF2B5EF4-FFF2-40B4-BE49-F238E27FC236}">
              <a16:creationId xmlns:a16="http://schemas.microsoft.com/office/drawing/2014/main" id="{9586B33D-E977-4A5F-B376-6A1DF29527F8}"/>
            </a:ext>
          </a:extLst>
        </xdr:cNvPr>
        <xdr:cNvSpPr/>
      </xdr:nvSpPr>
      <xdr:spPr>
        <a:xfrm>
          <a:off x="12506325" y="7915275"/>
          <a:ext cx="6296025" cy="720000"/>
        </a:xfrm>
        <a:prstGeom prst="roundRect">
          <a:avLst/>
        </a:prstGeom>
        <a:solidFill>
          <a:srgbClr val="00B050"/>
        </a:solidFill>
        <a:ln>
          <a:solidFill>
            <a:schemeClr val="accent3">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288000" rtlCol="0" anchor="ctr" anchorCtr="0"/>
        <a:lstStyle/>
        <a:p>
          <a:pPr algn="l">
            <a:lnSpc>
              <a:spcPts val="1800"/>
            </a:lnSpc>
          </a:pPr>
          <a:r>
            <a:rPr kumimoji="1" lang="ja-JP" altLang="en-US" sz="1800" b="1"/>
            <a:t>社会保険加入者１０１人以上企業（１０６万円の壁）で活用！</a:t>
          </a:r>
          <a:endParaRPr kumimoji="1" lang="en-US" altLang="ja-JP" sz="1800" b="1"/>
        </a:p>
        <a:p>
          <a:pPr algn="l">
            <a:lnSpc>
              <a:spcPts val="1800"/>
            </a:lnSpc>
          </a:pPr>
          <a:r>
            <a:rPr kumimoji="1" lang="ja-JP" altLang="en-US" sz="1400" b="1"/>
            <a:t>　　　（２０２５．１０．１から上記は、社会保険加入者５１人以上企業に変更）</a:t>
          </a:r>
          <a:endParaRPr kumimoji="1" lang="en-US" altLang="ja-JP" sz="1400" b="1"/>
        </a:p>
      </xdr:txBody>
    </xdr:sp>
    <xdr:clientData/>
  </xdr:twoCellAnchor>
  <xdr:twoCellAnchor>
    <xdr:from>
      <xdr:col>25</xdr:col>
      <xdr:colOff>275169</xdr:colOff>
      <xdr:row>212</xdr:row>
      <xdr:rowOff>148167</xdr:rowOff>
    </xdr:from>
    <xdr:to>
      <xdr:col>27</xdr:col>
      <xdr:colOff>183634</xdr:colOff>
      <xdr:row>216</xdr:row>
      <xdr:rowOff>43381</xdr:rowOff>
    </xdr:to>
    <xdr:grpSp>
      <xdr:nvGrpSpPr>
        <xdr:cNvPr id="70" name="グループ化 69">
          <a:extLst>
            <a:ext uri="{FF2B5EF4-FFF2-40B4-BE49-F238E27FC236}">
              <a16:creationId xmlns:a16="http://schemas.microsoft.com/office/drawing/2014/main" id="{1F4BE279-055F-435B-BA7C-825A571530C2}"/>
            </a:ext>
          </a:extLst>
        </xdr:cNvPr>
        <xdr:cNvGrpSpPr/>
      </xdr:nvGrpSpPr>
      <xdr:grpSpPr>
        <a:xfrm>
          <a:off x="16499419" y="61891334"/>
          <a:ext cx="1284298" cy="995880"/>
          <a:chOff x="14752357" y="5094203"/>
          <a:chExt cx="1002005" cy="667946"/>
        </a:xfrm>
      </xdr:grpSpPr>
      <xdr:sp macro="" textlink="">
        <xdr:nvSpPr>
          <xdr:cNvPr id="75" name="正方形/長方形 74">
            <a:extLst>
              <a:ext uri="{FF2B5EF4-FFF2-40B4-BE49-F238E27FC236}">
                <a16:creationId xmlns:a16="http://schemas.microsoft.com/office/drawing/2014/main" id="{EC19EACA-4385-F5C6-324B-4920F424BEE7}"/>
              </a:ext>
            </a:extLst>
          </xdr:cNvPr>
          <xdr:cNvSpPr/>
        </xdr:nvSpPr>
        <xdr:spPr>
          <a:xfrm>
            <a:off x="14890905" y="5094203"/>
            <a:ext cx="863457" cy="667946"/>
          </a:xfrm>
          <a:prstGeom prst="rect">
            <a:avLst/>
          </a:prstGeom>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指標は、個別に移動して提案して下さい！）</a:t>
            </a:r>
          </a:p>
        </xdr:txBody>
      </xdr:sp>
      <xdr:sp macro="" textlink="">
        <xdr:nvSpPr>
          <xdr:cNvPr id="76" name="矢印: 左 75">
            <a:extLst>
              <a:ext uri="{FF2B5EF4-FFF2-40B4-BE49-F238E27FC236}">
                <a16:creationId xmlns:a16="http://schemas.microsoft.com/office/drawing/2014/main" id="{41402D1F-96BF-28BE-76A2-F24466AE30C0}"/>
              </a:ext>
            </a:extLst>
          </xdr:cNvPr>
          <xdr:cNvSpPr/>
        </xdr:nvSpPr>
        <xdr:spPr>
          <a:xfrm>
            <a:off x="14752357" y="5324274"/>
            <a:ext cx="138545" cy="207817"/>
          </a:xfrm>
          <a:prstGeom prst="leftArrow">
            <a:avLst/>
          </a:prstGeom>
          <a:solidFill>
            <a:srgbClr val="FFFF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2</xdr:col>
      <xdr:colOff>222250</xdr:colOff>
      <xdr:row>174</xdr:row>
      <xdr:rowOff>116417</xdr:rowOff>
    </xdr:from>
    <xdr:to>
      <xdr:col>24</xdr:col>
      <xdr:colOff>645583</xdr:colOff>
      <xdr:row>195</xdr:row>
      <xdr:rowOff>52917</xdr:rowOff>
    </xdr:to>
    <xdr:pic>
      <xdr:nvPicPr>
        <xdr:cNvPr id="78" name="図 77">
          <a:extLst>
            <a:ext uri="{FF2B5EF4-FFF2-40B4-BE49-F238E27FC236}">
              <a16:creationId xmlns:a16="http://schemas.microsoft.com/office/drawing/2014/main" id="{01B640CC-59E8-46E2-89AA-3DD674CFDD9A}"/>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03250" y="51403250"/>
          <a:ext cx="15578666"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355024</xdr:colOff>
      <xdr:row>1</xdr:row>
      <xdr:rowOff>25976</xdr:rowOff>
    </xdr:from>
    <xdr:to>
      <xdr:col>17</xdr:col>
      <xdr:colOff>554182</xdr:colOff>
      <xdr:row>2</xdr:row>
      <xdr:rowOff>112568</xdr:rowOff>
    </xdr:to>
    <xdr:grpSp>
      <xdr:nvGrpSpPr>
        <xdr:cNvPr id="11" name="グループ化 10">
          <a:extLst>
            <a:ext uri="{FF2B5EF4-FFF2-40B4-BE49-F238E27FC236}">
              <a16:creationId xmlns:a16="http://schemas.microsoft.com/office/drawing/2014/main" id="{A6C50C3A-0422-4338-85CE-604C519D6372}"/>
            </a:ext>
          </a:extLst>
        </xdr:cNvPr>
        <xdr:cNvGrpSpPr/>
      </xdr:nvGrpSpPr>
      <xdr:grpSpPr>
        <a:xfrm>
          <a:off x="11577206" y="181840"/>
          <a:ext cx="4494067" cy="571501"/>
          <a:chOff x="10096501" y="1853046"/>
          <a:chExt cx="4502725" cy="571500"/>
        </a:xfrm>
      </xdr:grpSpPr>
      <xdr:sp macro="" textlink="">
        <xdr:nvSpPr>
          <xdr:cNvPr id="12" name="正方形/長方形 11">
            <a:extLst>
              <a:ext uri="{FF2B5EF4-FFF2-40B4-BE49-F238E27FC236}">
                <a16:creationId xmlns:a16="http://schemas.microsoft.com/office/drawing/2014/main" id="{CD0C40AC-B695-E965-6332-0E2ABD3A221E}"/>
              </a:ext>
            </a:extLst>
          </xdr:cNvPr>
          <xdr:cNvSpPr/>
        </xdr:nvSpPr>
        <xdr:spPr>
          <a:xfrm>
            <a:off x="10538113" y="1861705"/>
            <a:ext cx="4061113" cy="476250"/>
          </a:xfrm>
          <a:prstGeom prst="rect">
            <a:avLst/>
          </a:prstGeom>
          <a:solidFill>
            <a:srgbClr val="0000FF"/>
          </a:solid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a:solidFill>
                  <a:schemeClr val="lt1"/>
                </a:solidFill>
                <a:effectLst/>
                <a:latin typeface="+mn-lt"/>
                <a:ea typeface="+mn-ea"/>
                <a:cs typeface="+mn-cs"/>
              </a:rPr>
              <a:t>このシートの設計変更は制限させていただきます！</a:t>
            </a:r>
            <a:endParaRPr lang="ja-JP" altLang="ja-JP" sz="1400">
              <a:effectLst/>
            </a:endParaRPr>
          </a:p>
          <a:p>
            <a:pPr algn="l"/>
            <a:endParaRPr kumimoji="1" lang="ja-JP" altLang="en-US" sz="1400"/>
          </a:p>
        </xdr:txBody>
      </xdr:sp>
      <xdr:pic>
        <xdr:nvPicPr>
          <xdr:cNvPr id="13" name="図 12">
            <a:extLst>
              <a:ext uri="{FF2B5EF4-FFF2-40B4-BE49-F238E27FC236}">
                <a16:creationId xmlns:a16="http://schemas.microsoft.com/office/drawing/2014/main" id="{F18DA8ED-BCCA-A07E-D395-5665F84AC5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96501" y="1853046"/>
            <a:ext cx="470671" cy="5715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18</xdr:col>
      <xdr:colOff>1000125</xdr:colOff>
      <xdr:row>13</xdr:row>
      <xdr:rowOff>0</xdr:rowOff>
    </xdr:from>
    <xdr:to>
      <xdr:col>19</xdr:col>
      <xdr:colOff>254000</xdr:colOff>
      <xdr:row>13</xdr:row>
      <xdr:rowOff>142875</xdr:rowOff>
    </xdr:to>
    <xdr:sp macro="" textlink="">
      <xdr:nvSpPr>
        <xdr:cNvPr id="29" name="矢印: 左右 28">
          <a:extLst>
            <a:ext uri="{FF2B5EF4-FFF2-40B4-BE49-F238E27FC236}">
              <a16:creationId xmlns:a16="http://schemas.microsoft.com/office/drawing/2014/main" id="{0133D2AA-B125-41CC-9E17-46DBF12114C2}"/>
            </a:ext>
          </a:extLst>
        </xdr:cNvPr>
        <xdr:cNvSpPr/>
      </xdr:nvSpPr>
      <xdr:spPr>
        <a:xfrm>
          <a:off x="18335625" y="3933825"/>
          <a:ext cx="368300" cy="142875"/>
        </a:xfrm>
        <a:prstGeom prst="leftRightArrow">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77932</xdr:colOff>
      <xdr:row>2</xdr:row>
      <xdr:rowOff>225135</xdr:rowOff>
    </xdr:from>
    <xdr:to>
      <xdr:col>9</xdr:col>
      <xdr:colOff>329047</xdr:colOff>
      <xdr:row>4</xdr:row>
      <xdr:rowOff>134010</xdr:rowOff>
    </xdr:to>
    <xdr:sp macro="" textlink="">
      <xdr:nvSpPr>
        <xdr:cNvPr id="49" name="四角形: 角を丸くする 48">
          <a:extLst>
            <a:ext uri="{FF2B5EF4-FFF2-40B4-BE49-F238E27FC236}">
              <a16:creationId xmlns:a16="http://schemas.microsoft.com/office/drawing/2014/main" id="{7D9651CF-41AE-4BA2-B565-3F2705CF801F}"/>
            </a:ext>
          </a:extLst>
        </xdr:cNvPr>
        <xdr:cNvSpPr/>
      </xdr:nvSpPr>
      <xdr:spPr>
        <a:xfrm>
          <a:off x="4329546" y="865908"/>
          <a:ext cx="3212524" cy="471716"/>
        </a:xfrm>
        <a:prstGeom prst="roundRect">
          <a:avLst/>
        </a:prstGeom>
        <a:solidFill>
          <a:srgbClr val="3333FF"/>
        </a:solidFill>
        <a:ln>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t>このシートは、参照シートです！</a:t>
          </a:r>
        </a:p>
      </xdr:txBody>
    </xdr:sp>
    <xdr:clientData/>
  </xdr:twoCellAnchor>
  <xdr:twoCellAnchor>
    <xdr:from>
      <xdr:col>1</xdr:col>
      <xdr:colOff>0</xdr:colOff>
      <xdr:row>1</xdr:row>
      <xdr:rowOff>0</xdr:rowOff>
    </xdr:from>
    <xdr:to>
      <xdr:col>2</xdr:col>
      <xdr:colOff>1124815</xdr:colOff>
      <xdr:row>1</xdr:row>
      <xdr:rowOff>284019</xdr:rowOff>
    </xdr:to>
    <xdr:sp macro="" textlink="">
      <xdr:nvSpPr>
        <xdr:cNvPr id="2" name="矢印: 五方向 1">
          <a:hlinkClick xmlns:r="http://schemas.openxmlformats.org/officeDocument/2006/relationships" r:id="rId2"/>
          <a:extLst>
            <a:ext uri="{FF2B5EF4-FFF2-40B4-BE49-F238E27FC236}">
              <a16:creationId xmlns:a16="http://schemas.microsoft.com/office/drawing/2014/main" id="{0DB961A2-1857-479E-974D-425A07613121}"/>
            </a:ext>
          </a:extLst>
        </xdr:cNvPr>
        <xdr:cNvSpPr/>
      </xdr:nvSpPr>
      <xdr:spPr>
        <a:xfrm flipH="1">
          <a:off x="199159" y="155864"/>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77931</xdr:rowOff>
    </xdr:from>
    <xdr:to>
      <xdr:col>4</xdr:col>
      <xdr:colOff>319520</xdr:colOff>
      <xdr:row>0</xdr:row>
      <xdr:rowOff>361950</xdr:rowOff>
    </xdr:to>
    <xdr:sp macro="" textlink="">
      <xdr:nvSpPr>
        <xdr:cNvPr id="3" name="矢印: 五方向 2">
          <a:hlinkClick xmlns:r="http://schemas.openxmlformats.org/officeDocument/2006/relationships" r:id="rId1"/>
          <a:extLst>
            <a:ext uri="{FF2B5EF4-FFF2-40B4-BE49-F238E27FC236}">
              <a16:creationId xmlns:a16="http://schemas.microsoft.com/office/drawing/2014/main" id="{FF39C3C3-678C-426F-99DD-466D8C91F5E1}"/>
            </a:ext>
          </a:extLst>
        </xdr:cNvPr>
        <xdr:cNvSpPr/>
      </xdr:nvSpPr>
      <xdr:spPr>
        <a:xfrm flipH="1">
          <a:off x="181841" y="77931"/>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266700</xdr:colOff>
      <xdr:row>68</xdr:row>
      <xdr:rowOff>133350</xdr:rowOff>
    </xdr:from>
    <xdr:to>
      <xdr:col>21</xdr:col>
      <xdr:colOff>587375</xdr:colOff>
      <xdr:row>91</xdr:row>
      <xdr:rowOff>150783</xdr:rowOff>
    </xdr:to>
    <xdr:pic>
      <xdr:nvPicPr>
        <xdr:cNvPr id="5" name="図 4">
          <a:extLst>
            <a:ext uri="{FF2B5EF4-FFF2-40B4-BE49-F238E27FC236}">
              <a16:creationId xmlns:a16="http://schemas.microsoft.com/office/drawing/2014/main" id="{110D7F07-3A48-46A3-A55D-564E488FF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82100" y="12839700"/>
          <a:ext cx="7019925" cy="3960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130993</xdr:rowOff>
    </xdr:from>
    <xdr:to>
      <xdr:col>10</xdr:col>
      <xdr:colOff>966676</xdr:colOff>
      <xdr:row>105</xdr:row>
      <xdr:rowOff>66675</xdr:rowOff>
    </xdr:to>
    <xdr:pic>
      <xdr:nvPicPr>
        <xdr:cNvPr id="9" name="図 8">
          <a:extLst>
            <a:ext uri="{FF2B5EF4-FFF2-40B4-BE49-F238E27FC236}">
              <a16:creationId xmlns:a16="http://schemas.microsoft.com/office/drawing/2014/main" id="{E5A7B7A4-223A-4676-B51B-B4876E031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208943"/>
          <a:ext cx="8808926" cy="4907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428625</xdr:colOff>
      <xdr:row>11</xdr:row>
      <xdr:rowOff>67178</xdr:rowOff>
    </xdr:from>
    <xdr:to>
      <xdr:col>13</xdr:col>
      <xdr:colOff>309562</xdr:colOff>
      <xdr:row>17</xdr:row>
      <xdr:rowOff>96837</xdr:rowOff>
    </xdr:to>
    <xdr:pic>
      <xdr:nvPicPr>
        <xdr:cNvPr id="2" name="図 1">
          <a:extLst>
            <a:ext uri="{FF2B5EF4-FFF2-40B4-BE49-F238E27FC236}">
              <a16:creationId xmlns:a16="http://schemas.microsoft.com/office/drawing/2014/main" id="{F5F20E97-0774-8EC7-04F4-7DEEA7E224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0250" y="3337428"/>
          <a:ext cx="4135437" cy="1331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150816</xdr:colOff>
      <xdr:row>0</xdr:row>
      <xdr:rowOff>47628</xdr:rowOff>
    </xdr:from>
    <xdr:to>
      <xdr:col>1</xdr:col>
      <xdr:colOff>1051938</xdr:colOff>
      <xdr:row>1</xdr:row>
      <xdr:rowOff>77647</xdr:rowOff>
    </xdr:to>
    <xdr:sp macro="" textlink="">
      <xdr:nvSpPr>
        <xdr:cNvPr id="4" name="矢印: 五方向 3">
          <a:hlinkClick xmlns:r="http://schemas.openxmlformats.org/officeDocument/2006/relationships" r:id="rId4"/>
          <a:extLst>
            <a:ext uri="{FF2B5EF4-FFF2-40B4-BE49-F238E27FC236}">
              <a16:creationId xmlns:a16="http://schemas.microsoft.com/office/drawing/2014/main" id="{6037DD8B-DF71-4401-B248-3C92019A675A}"/>
            </a:ext>
          </a:extLst>
        </xdr:cNvPr>
        <xdr:cNvSpPr/>
      </xdr:nvSpPr>
      <xdr:spPr>
        <a:xfrm flipH="1">
          <a:off x="150816" y="47628"/>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76200</xdr:colOff>
      <xdr:row>0</xdr:row>
      <xdr:rowOff>104775</xdr:rowOff>
    </xdr:from>
    <xdr:to>
      <xdr:col>4</xdr:col>
      <xdr:colOff>12122</xdr:colOff>
      <xdr:row>1</xdr:row>
      <xdr:rowOff>217344</xdr:rowOff>
    </xdr:to>
    <xdr:sp macro="" textlink="">
      <xdr:nvSpPr>
        <xdr:cNvPr id="2" name="矢印: 五方向 1">
          <a:hlinkClick xmlns:r="http://schemas.openxmlformats.org/officeDocument/2006/relationships" r:id="rId1" tooltip="メインメニューに戻る！"/>
          <a:extLst>
            <a:ext uri="{FF2B5EF4-FFF2-40B4-BE49-F238E27FC236}">
              <a16:creationId xmlns:a16="http://schemas.microsoft.com/office/drawing/2014/main" id="{F7638E39-F3E2-4E0E-8C73-F6F2AB924521}"/>
            </a:ext>
          </a:extLst>
        </xdr:cNvPr>
        <xdr:cNvSpPr/>
      </xdr:nvSpPr>
      <xdr:spPr>
        <a:xfrm flipH="1">
          <a:off x="371475" y="104775"/>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554183</xdr:colOff>
      <xdr:row>0</xdr:row>
      <xdr:rowOff>173182</xdr:rowOff>
    </xdr:from>
    <xdr:to>
      <xdr:col>26</xdr:col>
      <xdr:colOff>874569</xdr:colOff>
      <xdr:row>2</xdr:row>
      <xdr:rowOff>121228</xdr:rowOff>
    </xdr:to>
    <xdr:sp macro="" textlink="">
      <xdr:nvSpPr>
        <xdr:cNvPr id="3" name="吹き出し: 折線 2">
          <a:extLst>
            <a:ext uri="{FF2B5EF4-FFF2-40B4-BE49-F238E27FC236}">
              <a16:creationId xmlns:a16="http://schemas.microsoft.com/office/drawing/2014/main" id="{782176BE-0722-49D1-BDC7-0C467B8BD633}"/>
            </a:ext>
          </a:extLst>
        </xdr:cNvPr>
        <xdr:cNvSpPr/>
      </xdr:nvSpPr>
      <xdr:spPr>
        <a:xfrm>
          <a:off x="16641908" y="173182"/>
          <a:ext cx="3606511" cy="538596"/>
        </a:xfrm>
        <a:prstGeom prst="borderCallout2">
          <a:avLst>
            <a:gd name="adj1" fmla="val 106885"/>
            <a:gd name="adj2" fmla="val 29167"/>
            <a:gd name="adj3" fmla="val 151722"/>
            <a:gd name="adj4" fmla="val 26603"/>
            <a:gd name="adj5" fmla="val 311379"/>
            <a:gd name="adj6" fmla="val 1030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諸手当の呼称は実態に合わせて変更して下さい！</a:t>
          </a:r>
          <a:endParaRPr kumimoji="1" lang="en-US" altLang="ja-JP" sz="1200" b="1">
            <a:solidFill>
              <a:schemeClr val="tx1"/>
            </a:solidFill>
          </a:endParaRPr>
        </a:p>
        <a:p>
          <a:pPr algn="l"/>
          <a:r>
            <a:rPr kumimoji="1" lang="ja-JP" altLang="en-US" sz="1200" b="1">
              <a:solidFill>
                <a:schemeClr val="tx1"/>
              </a:solidFill>
            </a:rPr>
            <a:t>その際、</a:t>
          </a:r>
          <a:r>
            <a:rPr kumimoji="1" lang="ja-JP" altLang="en-US" sz="1200" b="1" u="sng">
              <a:solidFill>
                <a:srgbClr val="FF0000"/>
              </a:solidFill>
            </a:rPr>
            <a:t>算定対象となる区分に注意して下さい！</a:t>
          </a:r>
        </a:p>
      </xdr:txBody>
    </xdr:sp>
    <xdr:clientData/>
  </xdr:twoCellAnchor>
  <xdr:twoCellAnchor>
    <xdr:from>
      <xdr:col>0</xdr:col>
      <xdr:colOff>0</xdr:colOff>
      <xdr:row>0</xdr:row>
      <xdr:rowOff>0</xdr:rowOff>
    </xdr:from>
    <xdr:to>
      <xdr:col>2</xdr:col>
      <xdr:colOff>830406</xdr:colOff>
      <xdr:row>1</xdr:row>
      <xdr:rowOff>32905</xdr:rowOff>
    </xdr:to>
    <xdr:sp macro="" textlink="">
      <xdr:nvSpPr>
        <xdr:cNvPr id="5" name="矢印: 五方向 4">
          <a:hlinkClick xmlns:r="http://schemas.openxmlformats.org/officeDocument/2006/relationships" r:id="rId1"/>
          <a:extLst>
            <a:ext uri="{FF2B5EF4-FFF2-40B4-BE49-F238E27FC236}">
              <a16:creationId xmlns:a16="http://schemas.microsoft.com/office/drawing/2014/main" id="{D80BF578-B4A9-4DB3-AD59-6DCEA01EC76F}"/>
            </a:ext>
          </a:extLst>
        </xdr:cNvPr>
        <xdr:cNvSpPr/>
      </xdr:nvSpPr>
      <xdr:spPr>
        <a:xfrm flipH="1">
          <a:off x="0" y="0"/>
          <a:ext cx="1582881" cy="28055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5</xdr:col>
      <xdr:colOff>60614</xdr:colOff>
      <xdr:row>2</xdr:row>
      <xdr:rowOff>95249</xdr:rowOff>
    </xdr:from>
    <xdr:to>
      <xdr:col>7</xdr:col>
      <xdr:colOff>199160</xdr:colOff>
      <xdr:row>4</xdr:row>
      <xdr:rowOff>190498</xdr:rowOff>
    </xdr:to>
    <xdr:sp macro="" textlink="">
      <xdr:nvSpPr>
        <xdr:cNvPr id="6" name="吹き出し: 折線 5">
          <a:extLst>
            <a:ext uri="{FF2B5EF4-FFF2-40B4-BE49-F238E27FC236}">
              <a16:creationId xmlns:a16="http://schemas.microsoft.com/office/drawing/2014/main" id="{228783A0-29D2-480C-85D3-FA908016A365}"/>
            </a:ext>
          </a:extLst>
        </xdr:cNvPr>
        <xdr:cNvSpPr/>
      </xdr:nvSpPr>
      <xdr:spPr>
        <a:xfrm>
          <a:off x="3801341" y="692726"/>
          <a:ext cx="1974274" cy="510886"/>
        </a:xfrm>
        <a:prstGeom prst="borderCallout2">
          <a:avLst>
            <a:gd name="adj1" fmla="val 106885"/>
            <a:gd name="adj2" fmla="val 29167"/>
            <a:gd name="adj3" fmla="val 128920"/>
            <a:gd name="adj4" fmla="val 9775"/>
            <a:gd name="adj5" fmla="val 312501"/>
            <a:gd name="adj6" fmla="val -128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記入例は削除してお使い</a:t>
          </a:r>
          <a:endParaRPr kumimoji="1" lang="en-US" altLang="ja-JP" sz="1200" b="1">
            <a:solidFill>
              <a:schemeClr val="tx1"/>
            </a:solidFill>
          </a:endParaRPr>
        </a:p>
        <a:p>
          <a:pPr algn="l"/>
          <a:r>
            <a:rPr kumimoji="1" lang="ja-JP" altLang="en-US" sz="1200" b="1">
              <a:solidFill>
                <a:schemeClr val="tx1"/>
              </a:solidFill>
            </a:rPr>
            <a:t>ください！</a:t>
          </a:r>
        </a:p>
      </xdr:txBody>
    </xdr:sp>
    <xdr:clientData/>
  </xdr:twoCellAnchor>
  <xdr:twoCellAnchor>
    <xdr:from>
      <xdr:col>17</xdr:col>
      <xdr:colOff>225136</xdr:colOff>
      <xdr:row>4</xdr:row>
      <xdr:rowOff>155862</xdr:rowOff>
    </xdr:from>
    <xdr:to>
      <xdr:col>19</xdr:col>
      <xdr:colOff>571500</xdr:colOff>
      <xdr:row>7</xdr:row>
      <xdr:rowOff>77930</xdr:rowOff>
    </xdr:to>
    <xdr:sp macro="" textlink="">
      <xdr:nvSpPr>
        <xdr:cNvPr id="8" name="吹き出し: 折線 7">
          <a:extLst>
            <a:ext uri="{FF2B5EF4-FFF2-40B4-BE49-F238E27FC236}">
              <a16:creationId xmlns:a16="http://schemas.microsoft.com/office/drawing/2014/main" id="{9B33DE14-C5D6-45B1-94B8-C8A848826A9E}"/>
            </a:ext>
          </a:extLst>
        </xdr:cNvPr>
        <xdr:cNvSpPr/>
      </xdr:nvSpPr>
      <xdr:spPr>
        <a:xfrm>
          <a:off x="12365181" y="1168976"/>
          <a:ext cx="1974274" cy="510886"/>
        </a:xfrm>
        <a:prstGeom prst="borderCallout2">
          <a:avLst>
            <a:gd name="adj1" fmla="val 106885"/>
            <a:gd name="adj2" fmla="val 29167"/>
            <a:gd name="adj3" fmla="val 167903"/>
            <a:gd name="adj4" fmla="val 24249"/>
            <a:gd name="adj5" fmla="val 236229"/>
            <a:gd name="adj6" fmla="val 166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昇給を加味しないときは「０」を入力！</a:t>
          </a:r>
        </a:p>
      </xdr:txBody>
    </xdr:sp>
    <xdr:clientData/>
  </xdr:twoCellAnchor>
  <xdr:twoCellAnchor>
    <xdr:from>
      <xdr:col>14</xdr:col>
      <xdr:colOff>0</xdr:colOff>
      <xdr:row>0</xdr:row>
      <xdr:rowOff>155865</xdr:rowOff>
    </xdr:from>
    <xdr:to>
      <xdr:col>20</xdr:col>
      <xdr:colOff>381000</xdr:colOff>
      <xdr:row>3</xdr:row>
      <xdr:rowOff>43299</xdr:rowOff>
    </xdr:to>
    <xdr:grpSp>
      <xdr:nvGrpSpPr>
        <xdr:cNvPr id="4" name="グループ化 3">
          <a:extLst>
            <a:ext uri="{FF2B5EF4-FFF2-40B4-BE49-F238E27FC236}">
              <a16:creationId xmlns:a16="http://schemas.microsoft.com/office/drawing/2014/main" id="{978E2D3A-B4E2-4FA8-BE1B-FE8A69B61CA1}"/>
            </a:ext>
          </a:extLst>
        </xdr:cNvPr>
        <xdr:cNvGrpSpPr/>
      </xdr:nvGrpSpPr>
      <xdr:grpSpPr>
        <a:xfrm>
          <a:off x="9658350" y="155865"/>
          <a:ext cx="5372100" cy="687534"/>
          <a:chOff x="5727930" y="2796"/>
          <a:chExt cx="4685864" cy="600002"/>
        </a:xfrm>
      </xdr:grpSpPr>
      <xdr:sp macro="" textlink="">
        <xdr:nvSpPr>
          <xdr:cNvPr id="11" name="矢印: 下 10">
            <a:extLst>
              <a:ext uri="{FF2B5EF4-FFF2-40B4-BE49-F238E27FC236}">
                <a16:creationId xmlns:a16="http://schemas.microsoft.com/office/drawing/2014/main" id="{7677EDB6-BBEA-2883-E9AA-6F387726994C}"/>
              </a:ext>
            </a:extLst>
          </xdr:cNvPr>
          <xdr:cNvSpPr/>
        </xdr:nvSpPr>
        <xdr:spPr>
          <a:xfrm rot="5400000">
            <a:off x="5675322" y="250405"/>
            <a:ext cx="213512" cy="108295"/>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2" name="テキスト ボックス 11">
            <a:extLst>
              <a:ext uri="{FF2B5EF4-FFF2-40B4-BE49-F238E27FC236}">
                <a16:creationId xmlns:a16="http://schemas.microsoft.com/office/drawing/2014/main" id="{C3A5F519-FEAE-994E-9625-8751A981FFBA}"/>
              </a:ext>
            </a:extLst>
          </xdr:cNvPr>
          <xdr:cNvSpPr txBox="1"/>
        </xdr:nvSpPr>
        <xdr:spPr>
          <a:xfrm>
            <a:off x="5838495" y="2796"/>
            <a:ext cx="4575299" cy="600002"/>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3333FF"/>
                </a:solidFill>
              </a:rPr>
              <a:t>　</a:t>
            </a:r>
            <a:r>
              <a:rPr kumimoji="1" lang="ja-JP" altLang="en-US" sz="1200" b="1">
                <a:solidFill>
                  <a:schemeClr val="tx1"/>
                </a:solidFill>
              </a:rPr>
              <a:t>「３」：既に社会保険適用拡大が適用されている会社（</a:t>
            </a:r>
            <a:r>
              <a:rPr kumimoji="1" lang="ja-JP" altLang="ja-JP" sz="1200" b="1">
                <a:solidFill>
                  <a:schemeClr val="dk1"/>
                </a:solidFill>
                <a:effectLst/>
                <a:latin typeface="+mn-lt"/>
                <a:ea typeface="+mn-ea"/>
                <a:cs typeface="+mn-cs"/>
              </a:rPr>
              <a:t>１０１人以上の会社</a:t>
            </a:r>
            <a:r>
              <a:rPr kumimoji="1" lang="ja-JP" altLang="en-US" sz="1200" b="1">
                <a:solidFill>
                  <a:schemeClr val="dk1"/>
                </a:solidFill>
                <a:effectLst/>
                <a:latin typeface="+mn-lt"/>
                <a:ea typeface="+mn-ea"/>
                <a:cs typeface="+mn-cs"/>
              </a:rPr>
              <a:t>）</a:t>
            </a:r>
            <a:endParaRPr kumimoji="1" lang="en-US" altLang="ja-JP" sz="1200" b="1">
              <a:solidFill>
                <a:schemeClr val="tx1"/>
              </a:solidFill>
            </a:endParaRPr>
          </a:p>
          <a:p>
            <a:pPr algn="l"/>
            <a:r>
              <a:rPr kumimoji="1" lang="ja-JP" altLang="ja-JP" sz="1200" b="1">
                <a:solidFill>
                  <a:schemeClr val="dk1"/>
                </a:solidFill>
                <a:effectLst/>
                <a:latin typeface="+mn-lt"/>
                <a:ea typeface="+mn-ea"/>
                <a:cs typeface="+mn-cs"/>
              </a:rPr>
              <a:t>　</a:t>
            </a:r>
            <a:r>
              <a:rPr kumimoji="1" lang="ja-JP" altLang="en-US" sz="1200" b="1" baseline="0">
                <a:solidFill>
                  <a:schemeClr val="dk1"/>
                </a:solidFill>
                <a:effectLst/>
                <a:latin typeface="+mn-lt"/>
                <a:ea typeface="+mn-ea"/>
                <a:cs typeface="+mn-cs"/>
              </a:rPr>
              <a:t>　　　</a:t>
            </a:r>
            <a:r>
              <a:rPr kumimoji="1" lang="ja-JP" altLang="ja-JP" sz="1200" b="1" u="sng">
                <a:solidFill>
                  <a:srgbClr val="FF0000"/>
                </a:solidFill>
                <a:effectLst/>
                <a:latin typeface="+mn-lt"/>
                <a:ea typeface="+mn-ea"/>
                <a:cs typeface="+mn-cs"/>
              </a:rPr>
              <a:t>２０２４．１０．１</a:t>
            </a:r>
            <a:r>
              <a:rPr kumimoji="1" lang="ja-JP" altLang="ja-JP" sz="1100" b="1" u="sng">
                <a:solidFill>
                  <a:srgbClr val="FF0000"/>
                </a:solidFill>
                <a:effectLst/>
                <a:latin typeface="+mn-lt"/>
                <a:ea typeface="+mn-ea"/>
                <a:cs typeface="+mn-cs"/>
              </a:rPr>
              <a:t>から</a:t>
            </a:r>
            <a:r>
              <a:rPr kumimoji="1" lang="ja-JP" altLang="en-US" sz="1100" b="1" u="sng">
                <a:solidFill>
                  <a:srgbClr val="FF0000"/>
                </a:solidFill>
                <a:effectLst/>
                <a:latin typeface="+mn-lt"/>
                <a:ea typeface="+mn-ea"/>
                <a:cs typeface="+mn-cs"/>
              </a:rPr>
              <a:t>は</a:t>
            </a:r>
            <a:r>
              <a:rPr kumimoji="1" lang="ja-JP" altLang="ja-JP" sz="1200" b="1" u="sng">
                <a:solidFill>
                  <a:srgbClr val="FF0000"/>
                </a:solidFill>
                <a:effectLst/>
                <a:latin typeface="+mn-lt"/>
                <a:ea typeface="+mn-ea"/>
                <a:cs typeface="+mn-cs"/>
              </a:rPr>
              <a:t>５１人以上</a:t>
            </a:r>
            <a:r>
              <a:rPr kumimoji="1" lang="ja-JP" altLang="en-US" sz="1200" b="1" u="sng">
                <a:solidFill>
                  <a:srgbClr val="FF0000"/>
                </a:solidFill>
                <a:effectLst/>
                <a:latin typeface="+mn-lt"/>
                <a:ea typeface="+mn-ea"/>
                <a:cs typeface="+mn-cs"/>
              </a:rPr>
              <a:t>に適用拡大！</a:t>
            </a:r>
            <a:endParaRPr lang="ja-JP" altLang="ja-JP" sz="1200" u="sng">
              <a:solidFill>
                <a:srgbClr val="FF0000"/>
              </a:solidFill>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180979</xdr:colOff>
      <xdr:row>12</xdr:row>
      <xdr:rowOff>145470</xdr:rowOff>
    </xdr:from>
    <xdr:to>
      <xdr:col>14</xdr:col>
      <xdr:colOff>247651</xdr:colOff>
      <xdr:row>15</xdr:row>
      <xdr:rowOff>327505</xdr:rowOff>
    </xdr:to>
    <xdr:sp macro="" textlink="">
      <xdr:nvSpPr>
        <xdr:cNvPr id="2" name="テキスト ボックス 1">
          <a:extLst>
            <a:ext uri="{FF2B5EF4-FFF2-40B4-BE49-F238E27FC236}">
              <a16:creationId xmlns:a16="http://schemas.microsoft.com/office/drawing/2014/main" id="{2A6674E3-A234-0620-50FD-CF54AFB1A732}"/>
            </a:ext>
          </a:extLst>
        </xdr:cNvPr>
        <xdr:cNvSpPr txBox="1"/>
      </xdr:nvSpPr>
      <xdr:spPr>
        <a:xfrm>
          <a:off x="10134604" y="3993570"/>
          <a:ext cx="3409947" cy="10583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u="sng">
              <a:solidFill>
                <a:srgbClr val="FF0000"/>
              </a:solidFill>
            </a:rPr>
            <a:t>ネット検索を行う際のキーワードの例！</a:t>
          </a:r>
          <a:endParaRPr kumimoji="1" lang="en-US" altLang="ja-JP" sz="1400" b="1" u="sng">
            <a:solidFill>
              <a:srgbClr val="FF0000"/>
            </a:solidFill>
          </a:endParaRPr>
        </a:p>
        <a:p>
          <a:r>
            <a:rPr kumimoji="1" lang="en-US" altLang="ja-JP" sz="1400" b="1"/>
            <a:t>1.</a:t>
          </a:r>
          <a:r>
            <a:rPr kumimoji="1" lang="ja-JP" altLang="en-US" sz="1400" b="1"/>
            <a:t>地方税の計算＋市区町村名　</a:t>
          </a:r>
          <a:endParaRPr kumimoji="1" lang="en-US" altLang="ja-JP" sz="1400" b="1"/>
        </a:p>
        <a:p>
          <a:r>
            <a:rPr kumimoji="1" lang="en-US" altLang="ja-JP" sz="1400" b="1"/>
            <a:t>2.</a:t>
          </a:r>
          <a:r>
            <a:rPr kumimoji="1" lang="ja-JP" altLang="en-US" sz="1400" b="1"/>
            <a:t>町民税の計算＋市区町村名</a:t>
          </a:r>
          <a:endParaRPr kumimoji="1" lang="en-US" altLang="ja-JP" sz="1400" b="1"/>
        </a:p>
        <a:p>
          <a:r>
            <a:rPr kumimoji="1" lang="en-US" altLang="ja-JP" sz="1400" b="1"/>
            <a:t>3.</a:t>
          </a:r>
          <a:r>
            <a:rPr kumimoji="1" lang="ja-JP" altLang="en-US" sz="1400" b="1"/>
            <a:t>市民税の計算＋市区町村名　など</a:t>
          </a:r>
        </a:p>
      </xdr:txBody>
    </xdr:sp>
    <xdr:clientData/>
  </xdr:twoCellAnchor>
  <xdr:twoCellAnchor>
    <xdr:from>
      <xdr:col>1</xdr:col>
      <xdr:colOff>0</xdr:colOff>
      <xdr:row>0</xdr:row>
      <xdr:rowOff>47625</xdr:rowOff>
    </xdr:from>
    <xdr:to>
      <xdr:col>3</xdr:col>
      <xdr:colOff>1078922</xdr:colOff>
      <xdr:row>0</xdr:row>
      <xdr:rowOff>331644</xdr:rowOff>
    </xdr:to>
    <xdr:sp macro="" textlink="">
      <xdr:nvSpPr>
        <xdr:cNvPr id="3" name="矢印: 五方向 2">
          <a:hlinkClick xmlns:r="http://schemas.openxmlformats.org/officeDocument/2006/relationships" r:id="rId1"/>
          <a:extLst>
            <a:ext uri="{FF2B5EF4-FFF2-40B4-BE49-F238E27FC236}">
              <a16:creationId xmlns:a16="http://schemas.microsoft.com/office/drawing/2014/main" id="{15714B8D-F5A6-4FA4-9252-D075E7162B37}"/>
            </a:ext>
          </a:extLst>
        </xdr:cNvPr>
        <xdr:cNvSpPr/>
      </xdr:nvSpPr>
      <xdr:spPr>
        <a:xfrm flipH="1">
          <a:off x="180975" y="47625"/>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502228</xdr:colOff>
      <xdr:row>4</xdr:row>
      <xdr:rowOff>303068</xdr:rowOff>
    </xdr:from>
    <xdr:to>
      <xdr:col>7</xdr:col>
      <xdr:colOff>0</xdr:colOff>
      <xdr:row>6</xdr:row>
      <xdr:rowOff>40409</xdr:rowOff>
    </xdr:to>
    <xdr:sp macro="" textlink="">
      <xdr:nvSpPr>
        <xdr:cNvPr id="2" name="四角形: 角を丸くする 1">
          <a:extLst>
            <a:ext uri="{FF2B5EF4-FFF2-40B4-BE49-F238E27FC236}">
              <a16:creationId xmlns:a16="http://schemas.microsoft.com/office/drawing/2014/main" id="{65A1772D-CBAE-46F5-852B-D727C3970B1A}"/>
            </a:ext>
          </a:extLst>
        </xdr:cNvPr>
        <xdr:cNvSpPr/>
      </xdr:nvSpPr>
      <xdr:spPr>
        <a:xfrm rot="16200000">
          <a:off x="9630354" y="-3534354"/>
          <a:ext cx="317500" cy="10157115"/>
        </a:xfrm>
        <a:prstGeom prst="roundRect">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519544</xdr:colOff>
      <xdr:row>9</xdr:row>
      <xdr:rowOff>8658</xdr:rowOff>
    </xdr:from>
    <xdr:to>
      <xdr:col>7</xdr:col>
      <xdr:colOff>0</xdr:colOff>
      <xdr:row>10</xdr:row>
      <xdr:rowOff>14431</xdr:rowOff>
    </xdr:to>
    <xdr:sp macro="" textlink="">
      <xdr:nvSpPr>
        <xdr:cNvPr id="8" name="四角形: 角を丸くする 7">
          <a:extLst>
            <a:ext uri="{FF2B5EF4-FFF2-40B4-BE49-F238E27FC236}">
              <a16:creationId xmlns:a16="http://schemas.microsoft.com/office/drawing/2014/main" id="{9F492698-2244-42F7-947A-6362E6D70E69}"/>
            </a:ext>
          </a:extLst>
        </xdr:cNvPr>
        <xdr:cNvSpPr/>
      </xdr:nvSpPr>
      <xdr:spPr>
        <a:xfrm rot="16200000">
          <a:off x="9647670" y="-1975718"/>
          <a:ext cx="317500" cy="10157115"/>
        </a:xfrm>
        <a:prstGeom prst="roundRect">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429490</xdr:colOff>
      <xdr:row>13</xdr:row>
      <xdr:rowOff>22514</xdr:rowOff>
    </xdr:from>
    <xdr:to>
      <xdr:col>7</xdr:col>
      <xdr:colOff>0</xdr:colOff>
      <xdr:row>14</xdr:row>
      <xdr:rowOff>28287</xdr:rowOff>
    </xdr:to>
    <xdr:sp macro="" textlink="">
      <xdr:nvSpPr>
        <xdr:cNvPr id="9" name="四角形: 角を丸くする 8">
          <a:extLst>
            <a:ext uri="{FF2B5EF4-FFF2-40B4-BE49-F238E27FC236}">
              <a16:creationId xmlns:a16="http://schemas.microsoft.com/office/drawing/2014/main" id="{1B10336C-CC1C-46DC-A5A8-819C492ACA1C}"/>
            </a:ext>
          </a:extLst>
        </xdr:cNvPr>
        <xdr:cNvSpPr/>
      </xdr:nvSpPr>
      <xdr:spPr>
        <a:xfrm rot="16200000">
          <a:off x="9557616" y="47047"/>
          <a:ext cx="317500" cy="10157115"/>
        </a:xfrm>
        <a:prstGeom prst="roundRect">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1190625</xdr:colOff>
      <xdr:row>12</xdr:row>
      <xdr:rowOff>857250</xdr:rowOff>
    </xdr:from>
    <xdr:to>
      <xdr:col>6</xdr:col>
      <xdr:colOff>1730375</xdr:colOff>
      <xdr:row>14</xdr:row>
      <xdr:rowOff>119063</xdr:rowOff>
    </xdr:to>
    <xdr:sp macro="" textlink="">
      <xdr:nvSpPr>
        <xdr:cNvPr id="5" name="楕円 4">
          <a:extLst>
            <a:ext uri="{FF2B5EF4-FFF2-40B4-BE49-F238E27FC236}">
              <a16:creationId xmlns:a16="http://schemas.microsoft.com/office/drawing/2014/main" id="{D88C4E63-09B9-4A07-935D-B0753797D44E}"/>
            </a:ext>
          </a:extLst>
        </xdr:cNvPr>
        <xdr:cNvSpPr/>
      </xdr:nvSpPr>
      <xdr:spPr>
        <a:xfrm>
          <a:off x="10477500" y="5341938"/>
          <a:ext cx="539750" cy="468313"/>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9525</xdr:colOff>
      <xdr:row>15</xdr:row>
      <xdr:rowOff>25400</xdr:rowOff>
    </xdr:from>
    <xdr:to>
      <xdr:col>1</xdr:col>
      <xdr:colOff>549275</xdr:colOff>
      <xdr:row>15</xdr:row>
      <xdr:rowOff>493713</xdr:rowOff>
    </xdr:to>
    <xdr:sp macro="" textlink="">
      <xdr:nvSpPr>
        <xdr:cNvPr id="10" name="楕円 9">
          <a:extLst>
            <a:ext uri="{FF2B5EF4-FFF2-40B4-BE49-F238E27FC236}">
              <a16:creationId xmlns:a16="http://schemas.microsoft.com/office/drawing/2014/main" id="{6F9EACBC-82D6-4363-B4FC-42650476A3A0}"/>
            </a:ext>
          </a:extLst>
        </xdr:cNvPr>
        <xdr:cNvSpPr/>
      </xdr:nvSpPr>
      <xdr:spPr>
        <a:xfrm>
          <a:off x="303213" y="6034088"/>
          <a:ext cx="539750" cy="468313"/>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23811</xdr:colOff>
      <xdr:row>14</xdr:row>
      <xdr:rowOff>166683</xdr:rowOff>
    </xdr:from>
    <xdr:to>
      <xdr:col>7</xdr:col>
      <xdr:colOff>39686</xdr:colOff>
      <xdr:row>16</xdr:row>
      <xdr:rowOff>650870</xdr:rowOff>
    </xdr:to>
    <xdr:sp macro="" textlink="">
      <xdr:nvSpPr>
        <xdr:cNvPr id="11" name="四角形: 角を丸くする 10">
          <a:extLst>
            <a:ext uri="{FF2B5EF4-FFF2-40B4-BE49-F238E27FC236}">
              <a16:creationId xmlns:a16="http://schemas.microsoft.com/office/drawing/2014/main" id="{AEC32567-09E6-430C-A0F0-206956D6B14F}"/>
            </a:ext>
          </a:extLst>
        </xdr:cNvPr>
        <xdr:cNvSpPr/>
      </xdr:nvSpPr>
      <xdr:spPr>
        <a:xfrm>
          <a:off x="9310686" y="5857871"/>
          <a:ext cx="2976563" cy="1309687"/>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1</xdr:row>
      <xdr:rowOff>0</xdr:rowOff>
    </xdr:from>
    <xdr:to>
      <xdr:col>2</xdr:col>
      <xdr:colOff>1012247</xdr:colOff>
      <xdr:row>2</xdr:row>
      <xdr:rowOff>14144</xdr:rowOff>
    </xdr:to>
    <xdr:sp macro="" textlink="">
      <xdr:nvSpPr>
        <xdr:cNvPr id="3" name="矢印: 五方向 2">
          <a:hlinkClick xmlns:r="http://schemas.openxmlformats.org/officeDocument/2006/relationships" r:id="rId1"/>
          <a:extLst>
            <a:ext uri="{FF2B5EF4-FFF2-40B4-BE49-F238E27FC236}">
              <a16:creationId xmlns:a16="http://schemas.microsoft.com/office/drawing/2014/main" id="{2D1C0BBE-8593-4628-A195-6BD83C6D03F9}"/>
            </a:ext>
          </a:extLst>
        </xdr:cNvPr>
        <xdr:cNvSpPr/>
      </xdr:nvSpPr>
      <xdr:spPr>
        <a:xfrm flipH="1">
          <a:off x="293688" y="174625"/>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1342158</xdr:colOff>
      <xdr:row>2</xdr:row>
      <xdr:rowOff>178956</xdr:rowOff>
    </xdr:from>
    <xdr:to>
      <xdr:col>5</xdr:col>
      <xdr:colOff>43295</xdr:colOff>
      <xdr:row>4</xdr:row>
      <xdr:rowOff>75768</xdr:rowOff>
    </xdr:to>
    <xdr:sp macro="" textlink="">
      <xdr:nvSpPr>
        <xdr:cNvPr id="3" name="楕円 2">
          <a:extLst>
            <a:ext uri="{FF2B5EF4-FFF2-40B4-BE49-F238E27FC236}">
              <a16:creationId xmlns:a16="http://schemas.microsoft.com/office/drawing/2014/main" id="{0542AB58-5FB1-4860-B4A5-5BA1CC2FF64B}"/>
            </a:ext>
          </a:extLst>
        </xdr:cNvPr>
        <xdr:cNvSpPr/>
      </xdr:nvSpPr>
      <xdr:spPr>
        <a:xfrm>
          <a:off x="2000249" y="854365"/>
          <a:ext cx="1385455" cy="459653"/>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142874</xdr:colOff>
      <xdr:row>4</xdr:row>
      <xdr:rowOff>77932</xdr:rowOff>
    </xdr:from>
    <xdr:to>
      <xdr:col>24</xdr:col>
      <xdr:colOff>510886</xdr:colOff>
      <xdr:row>5</xdr:row>
      <xdr:rowOff>15874</xdr:rowOff>
    </xdr:to>
    <xdr:sp macro="" textlink="">
      <xdr:nvSpPr>
        <xdr:cNvPr id="4" name="矢印: 右 3">
          <a:extLst>
            <a:ext uri="{FF2B5EF4-FFF2-40B4-BE49-F238E27FC236}">
              <a16:creationId xmlns:a16="http://schemas.microsoft.com/office/drawing/2014/main" id="{6A88DF26-6400-4E31-B807-5788EC474B0A}"/>
            </a:ext>
          </a:extLst>
        </xdr:cNvPr>
        <xdr:cNvSpPr/>
      </xdr:nvSpPr>
      <xdr:spPr>
        <a:xfrm>
          <a:off x="15630524" y="1316182"/>
          <a:ext cx="1377662" cy="318942"/>
        </a:xfrm>
        <a:prstGeom prst="rightArrow">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142874</xdr:colOff>
      <xdr:row>4</xdr:row>
      <xdr:rowOff>34636</xdr:rowOff>
    </xdr:from>
    <xdr:to>
      <xdr:col>36</xdr:col>
      <xdr:colOff>325437</xdr:colOff>
      <xdr:row>5</xdr:row>
      <xdr:rowOff>15874</xdr:rowOff>
    </xdr:to>
    <xdr:sp macro="" textlink="">
      <xdr:nvSpPr>
        <xdr:cNvPr id="5" name="矢印: 右 4">
          <a:extLst>
            <a:ext uri="{FF2B5EF4-FFF2-40B4-BE49-F238E27FC236}">
              <a16:creationId xmlns:a16="http://schemas.microsoft.com/office/drawing/2014/main" id="{A19C965D-DFCE-4DB0-BAA1-864FEEC40BC6}"/>
            </a:ext>
          </a:extLst>
        </xdr:cNvPr>
        <xdr:cNvSpPr/>
      </xdr:nvSpPr>
      <xdr:spPr>
        <a:xfrm>
          <a:off x="28727399" y="1272886"/>
          <a:ext cx="1316038" cy="362238"/>
        </a:xfrm>
        <a:prstGeom prst="rightArrow">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142874</xdr:colOff>
      <xdr:row>4</xdr:row>
      <xdr:rowOff>51955</xdr:rowOff>
    </xdr:from>
    <xdr:to>
      <xdr:col>42</xdr:col>
      <xdr:colOff>1368136</xdr:colOff>
      <xdr:row>5</xdr:row>
      <xdr:rowOff>15875</xdr:rowOff>
    </xdr:to>
    <xdr:sp macro="" textlink="">
      <xdr:nvSpPr>
        <xdr:cNvPr id="6" name="矢印: 右 5">
          <a:extLst>
            <a:ext uri="{FF2B5EF4-FFF2-40B4-BE49-F238E27FC236}">
              <a16:creationId xmlns:a16="http://schemas.microsoft.com/office/drawing/2014/main" id="{A1C7F1A4-0E5A-4E70-B066-74D195D60B48}"/>
            </a:ext>
          </a:extLst>
        </xdr:cNvPr>
        <xdr:cNvSpPr/>
      </xdr:nvSpPr>
      <xdr:spPr>
        <a:xfrm>
          <a:off x="36699824" y="1290205"/>
          <a:ext cx="1225262" cy="344920"/>
        </a:xfrm>
        <a:prstGeom prst="rightArrow">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1311736</xdr:colOff>
      <xdr:row>3</xdr:row>
      <xdr:rowOff>147207</xdr:rowOff>
    </xdr:from>
    <xdr:to>
      <xdr:col>6</xdr:col>
      <xdr:colOff>1099705</xdr:colOff>
      <xdr:row>5</xdr:row>
      <xdr:rowOff>155862</xdr:rowOff>
    </xdr:to>
    <xdr:grpSp>
      <xdr:nvGrpSpPr>
        <xdr:cNvPr id="9" name="グループ化 8">
          <a:extLst>
            <a:ext uri="{FF2B5EF4-FFF2-40B4-BE49-F238E27FC236}">
              <a16:creationId xmlns:a16="http://schemas.microsoft.com/office/drawing/2014/main" id="{03E2CF1C-38E1-B756-E1DA-56F4DF379B7E}"/>
            </a:ext>
          </a:extLst>
        </xdr:cNvPr>
        <xdr:cNvGrpSpPr/>
      </xdr:nvGrpSpPr>
      <xdr:grpSpPr>
        <a:xfrm>
          <a:off x="3311986" y="1033032"/>
          <a:ext cx="2035869" cy="703980"/>
          <a:chOff x="995773" y="1294187"/>
          <a:chExt cx="1446282" cy="669362"/>
        </a:xfrm>
      </xdr:grpSpPr>
      <xdr:sp macro="" textlink="">
        <xdr:nvSpPr>
          <xdr:cNvPr id="12" name="矢印: 左 11">
            <a:extLst>
              <a:ext uri="{FF2B5EF4-FFF2-40B4-BE49-F238E27FC236}">
                <a16:creationId xmlns:a16="http://schemas.microsoft.com/office/drawing/2014/main" id="{84E624EC-1B6F-BE13-068B-C85308F0AA10}"/>
              </a:ext>
            </a:extLst>
          </xdr:cNvPr>
          <xdr:cNvSpPr/>
        </xdr:nvSpPr>
        <xdr:spPr>
          <a:xfrm rot="1593970">
            <a:off x="995773" y="1385070"/>
            <a:ext cx="579474" cy="2010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C980F605-3C45-615D-62D1-877F5BB8BB37}"/>
              </a:ext>
            </a:extLst>
          </xdr:cNvPr>
          <xdr:cNvSpPr txBox="1"/>
        </xdr:nvSpPr>
        <xdr:spPr>
          <a:xfrm>
            <a:off x="1538993" y="1294187"/>
            <a:ext cx="903062" cy="6693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t>※</a:t>
            </a:r>
            <a:r>
              <a:rPr kumimoji="1" lang="ja-JP" altLang="en-US" sz="1200" b="1"/>
              <a:t>このシートの入力セルは</a:t>
            </a:r>
            <a:r>
              <a:rPr kumimoji="1" lang="ja-JP" altLang="en-US" sz="1200" b="1">
                <a:solidFill>
                  <a:srgbClr val="FF0000"/>
                </a:solidFill>
              </a:rPr>
              <a:t>１ヵ所</a:t>
            </a:r>
            <a:r>
              <a:rPr kumimoji="1" lang="ja-JP" altLang="en-US" sz="1200" b="1"/>
              <a:t>です！</a:t>
            </a:r>
          </a:p>
        </xdr:txBody>
      </xdr:sp>
    </xdr:grpSp>
    <xdr:clientData/>
  </xdr:twoCellAnchor>
  <xdr:twoCellAnchor>
    <xdr:from>
      <xdr:col>13</xdr:col>
      <xdr:colOff>155864</xdr:colOff>
      <xdr:row>3</xdr:row>
      <xdr:rowOff>233796</xdr:rowOff>
    </xdr:from>
    <xdr:to>
      <xdr:col>16</xdr:col>
      <xdr:colOff>891887</xdr:colOff>
      <xdr:row>5</xdr:row>
      <xdr:rowOff>112569</xdr:rowOff>
    </xdr:to>
    <xdr:grpSp>
      <xdr:nvGrpSpPr>
        <xdr:cNvPr id="17" name="グループ化 16">
          <a:extLst>
            <a:ext uri="{FF2B5EF4-FFF2-40B4-BE49-F238E27FC236}">
              <a16:creationId xmlns:a16="http://schemas.microsoft.com/office/drawing/2014/main" id="{00F5C344-E9EB-423E-80C2-49FA06294BA1}"/>
            </a:ext>
          </a:extLst>
        </xdr:cNvPr>
        <xdr:cNvGrpSpPr/>
      </xdr:nvGrpSpPr>
      <xdr:grpSpPr>
        <a:xfrm>
          <a:off x="11376314" y="1119621"/>
          <a:ext cx="3907848" cy="574098"/>
          <a:chOff x="10096501" y="1853046"/>
          <a:chExt cx="4502725" cy="571500"/>
        </a:xfrm>
      </xdr:grpSpPr>
      <xdr:sp macro="" textlink="">
        <xdr:nvSpPr>
          <xdr:cNvPr id="18" name="正方形/長方形 17">
            <a:extLst>
              <a:ext uri="{FF2B5EF4-FFF2-40B4-BE49-F238E27FC236}">
                <a16:creationId xmlns:a16="http://schemas.microsoft.com/office/drawing/2014/main" id="{566CA286-22E9-EB32-6792-B9E46E94CC1F}"/>
              </a:ext>
            </a:extLst>
          </xdr:cNvPr>
          <xdr:cNvSpPr/>
        </xdr:nvSpPr>
        <xdr:spPr>
          <a:xfrm>
            <a:off x="10538113" y="1861705"/>
            <a:ext cx="4061113" cy="476250"/>
          </a:xfrm>
          <a:prstGeom prst="rect">
            <a:avLst/>
          </a:prstGeom>
          <a:solidFill>
            <a:srgbClr val="0000FF"/>
          </a:solid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1">
                <a:solidFill>
                  <a:schemeClr val="lt1"/>
                </a:solidFill>
                <a:effectLst/>
                <a:latin typeface="+mn-lt"/>
                <a:ea typeface="+mn-ea"/>
                <a:cs typeface="+mn-cs"/>
              </a:rPr>
              <a:t>このシートの設計変更は制限させていただきます！</a:t>
            </a:r>
            <a:endParaRPr kumimoji="1" lang="ja-JP" altLang="en-US" sz="1200" b="1"/>
          </a:p>
        </xdr:txBody>
      </xdr:sp>
      <xdr:pic>
        <xdr:nvPicPr>
          <xdr:cNvPr id="19" name="図 18">
            <a:extLst>
              <a:ext uri="{FF2B5EF4-FFF2-40B4-BE49-F238E27FC236}">
                <a16:creationId xmlns:a16="http://schemas.microsoft.com/office/drawing/2014/main" id="{A3AF2368-9481-28EC-D3B4-0509BCCCFD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96501" y="1853046"/>
            <a:ext cx="470671" cy="5715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1058573</xdr:colOff>
      <xdr:row>12</xdr:row>
      <xdr:rowOff>355022</xdr:rowOff>
    </xdr:from>
    <xdr:to>
      <xdr:col>13</xdr:col>
      <xdr:colOff>162358</xdr:colOff>
      <xdr:row>13</xdr:row>
      <xdr:rowOff>147204</xdr:rowOff>
    </xdr:to>
    <xdr:sp macro="" textlink="">
      <xdr:nvSpPr>
        <xdr:cNvPr id="25" name="矢印: 下 24">
          <a:extLst>
            <a:ext uri="{FF2B5EF4-FFF2-40B4-BE49-F238E27FC236}">
              <a16:creationId xmlns:a16="http://schemas.microsoft.com/office/drawing/2014/main" id="{3390CC4F-B702-476D-A01C-3A189E1DCB2B}"/>
            </a:ext>
          </a:extLst>
        </xdr:cNvPr>
        <xdr:cNvSpPr/>
      </xdr:nvSpPr>
      <xdr:spPr>
        <a:xfrm>
          <a:off x="6973598" y="3955472"/>
          <a:ext cx="227735" cy="163657"/>
        </a:xfrm>
        <a:prstGeom prst="downArrow">
          <a:avLst/>
        </a:prstGeom>
        <a:solidFill>
          <a:srgbClr val="0000CC"/>
        </a:solid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1000125</xdr:colOff>
      <xdr:row>13</xdr:row>
      <xdr:rowOff>0</xdr:rowOff>
    </xdr:from>
    <xdr:to>
      <xdr:col>19</xdr:col>
      <xdr:colOff>254000</xdr:colOff>
      <xdr:row>13</xdr:row>
      <xdr:rowOff>142875</xdr:rowOff>
    </xdr:to>
    <xdr:sp macro="" textlink="">
      <xdr:nvSpPr>
        <xdr:cNvPr id="36" name="矢印: 左右 35">
          <a:extLst>
            <a:ext uri="{FF2B5EF4-FFF2-40B4-BE49-F238E27FC236}">
              <a16:creationId xmlns:a16="http://schemas.microsoft.com/office/drawing/2014/main" id="{A5896FF6-9720-445E-9455-34CC6A1C720F}"/>
            </a:ext>
          </a:extLst>
        </xdr:cNvPr>
        <xdr:cNvSpPr/>
      </xdr:nvSpPr>
      <xdr:spPr>
        <a:xfrm>
          <a:off x="13754966" y="3983182"/>
          <a:ext cx="370898" cy="142875"/>
        </a:xfrm>
        <a:prstGeom prst="leftRightArrow">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380999</xdr:colOff>
      <xdr:row>0</xdr:row>
      <xdr:rowOff>147205</xdr:rowOff>
    </xdr:from>
    <xdr:to>
      <xdr:col>16</xdr:col>
      <xdr:colOff>502227</xdr:colOff>
      <xdr:row>2</xdr:row>
      <xdr:rowOff>95250</xdr:rowOff>
    </xdr:to>
    <xdr:sp macro="" textlink="">
      <xdr:nvSpPr>
        <xdr:cNvPr id="37" name="四角形: 角を丸くする 36">
          <a:extLst>
            <a:ext uri="{FF2B5EF4-FFF2-40B4-BE49-F238E27FC236}">
              <a16:creationId xmlns:a16="http://schemas.microsoft.com/office/drawing/2014/main" id="{B142A813-136C-4B64-B104-E09DD5351534}"/>
            </a:ext>
          </a:extLst>
        </xdr:cNvPr>
        <xdr:cNvSpPr/>
      </xdr:nvSpPr>
      <xdr:spPr>
        <a:xfrm>
          <a:off x="9594272" y="147205"/>
          <a:ext cx="5308023" cy="588818"/>
        </a:xfrm>
        <a:prstGeom prst="roundRect">
          <a:avLst/>
        </a:prstGeom>
        <a:solidFill>
          <a:srgbClr val="3333FF"/>
        </a:solidFill>
        <a:ln>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このシートは、社会保険加入者</a:t>
          </a:r>
          <a:r>
            <a:rPr kumimoji="1" lang="ja-JP" altLang="en-US" sz="1400">
              <a:solidFill>
                <a:srgbClr val="99FFCC"/>
              </a:solidFill>
            </a:rPr>
            <a:t>１０１人以上</a:t>
          </a:r>
          <a:r>
            <a:rPr kumimoji="1" lang="ja-JP" altLang="en-US" sz="1400"/>
            <a:t>の企業が対象です！</a:t>
          </a:r>
          <a:endParaRPr kumimoji="1" lang="en-US" altLang="ja-JP" sz="1400"/>
        </a:p>
        <a:p>
          <a:pPr algn="ctr"/>
          <a:r>
            <a:rPr kumimoji="1" lang="ja-JP" altLang="ja-JP" sz="1100" b="1" u="sng">
              <a:solidFill>
                <a:schemeClr val="lt1"/>
              </a:solidFill>
              <a:effectLst/>
              <a:latin typeface="+mn-lt"/>
              <a:ea typeface="+mn-ea"/>
              <a:cs typeface="+mn-cs"/>
            </a:rPr>
            <a:t>２０２４．１０．１からは５１人以上に適用拡大！</a:t>
          </a:r>
          <a:endParaRPr kumimoji="1" lang="ja-JP" altLang="en-US" sz="1600"/>
        </a:p>
      </xdr:txBody>
    </xdr:sp>
    <xdr:clientData/>
  </xdr:twoCellAnchor>
  <xdr:twoCellAnchor>
    <xdr:from>
      <xdr:col>8</xdr:col>
      <xdr:colOff>415636</xdr:colOff>
      <xdr:row>9</xdr:row>
      <xdr:rowOff>0</xdr:rowOff>
    </xdr:from>
    <xdr:to>
      <xdr:col>11</xdr:col>
      <xdr:colOff>259772</xdr:colOff>
      <xdr:row>11</xdr:row>
      <xdr:rowOff>181840</xdr:rowOff>
    </xdr:to>
    <xdr:sp macro="" textlink="">
      <xdr:nvSpPr>
        <xdr:cNvPr id="8" name="四角形: 角を丸くする 7">
          <a:extLst>
            <a:ext uri="{FF2B5EF4-FFF2-40B4-BE49-F238E27FC236}">
              <a16:creationId xmlns:a16="http://schemas.microsoft.com/office/drawing/2014/main" id="{A1C88935-6195-45EC-8B40-B2C5CA2C0E2F}"/>
            </a:ext>
          </a:extLst>
        </xdr:cNvPr>
        <xdr:cNvSpPr/>
      </xdr:nvSpPr>
      <xdr:spPr>
        <a:xfrm>
          <a:off x="6745431" y="2753591"/>
          <a:ext cx="2727614" cy="718704"/>
        </a:xfrm>
        <a:prstGeom prst="roundRect">
          <a:avLst/>
        </a:prstGeom>
        <a:solidFill>
          <a:srgbClr val="FF0000"/>
        </a:solidFill>
        <a:ln>
          <a:solidFill>
            <a:srgbClr val="006C3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a:t>併用メニュー（１年目）</a:t>
          </a:r>
          <a:endParaRPr kumimoji="1" lang="en-US" altLang="ja-JP" sz="1800"/>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a:solidFill>
                <a:schemeClr val="lt1"/>
              </a:solidFill>
              <a:effectLst/>
              <a:latin typeface="+mn-lt"/>
              <a:ea typeface="+mn-ea"/>
              <a:cs typeface="+mn-cs"/>
            </a:rPr>
            <a:t>（</a:t>
          </a:r>
          <a:r>
            <a:rPr kumimoji="1" lang="ja-JP" altLang="ja-JP" sz="1400" b="1">
              <a:solidFill>
                <a:schemeClr val="lt1"/>
              </a:solidFill>
              <a:effectLst/>
              <a:latin typeface="+mn-lt"/>
              <a:ea typeface="+mn-ea"/>
              <a:cs typeface="+mn-cs"/>
            </a:rPr>
            <a:t>１年目は手当等支給メニュー</a:t>
          </a:r>
          <a:r>
            <a:rPr kumimoji="1" lang="ja-JP" altLang="en-US" sz="1400" b="1">
              <a:solidFill>
                <a:schemeClr val="lt1"/>
              </a:solidFill>
              <a:effectLst/>
              <a:latin typeface="+mn-lt"/>
              <a:ea typeface="+mn-ea"/>
              <a:cs typeface="+mn-cs"/>
            </a:rPr>
            <a:t>）</a:t>
          </a:r>
          <a:endParaRPr lang="ja-JP" altLang="ja-JP" sz="1400" b="1">
            <a:effectLst/>
          </a:endParaRPr>
        </a:p>
        <a:p>
          <a:pPr algn="ctr"/>
          <a:endParaRPr kumimoji="1" lang="ja-JP" altLang="en-US" sz="1800"/>
        </a:p>
      </xdr:txBody>
    </xdr:sp>
    <xdr:clientData/>
  </xdr:twoCellAnchor>
  <xdr:twoCellAnchor>
    <xdr:from>
      <xdr:col>1</xdr:col>
      <xdr:colOff>0</xdr:colOff>
      <xdr:row>0</xdr:row>
      <xdr:rowOff>86592</xdr:rowOff>
    </xdr:from>
    <xdr:to>
      <xdr:col>2</xdr:col>
      <xdr:colOff>1124815</xdr:colOff>
      <xdr:row>1</xdr:row>
      <xdr:rowOff>214747</xdr:rowOff>
    </xdr:to>
    <xdr:sp macro="" textlink="">
      <xdr:nvSpPr>
        <xdr:cNvPr id="2" name="矢印: 五方向 1">
          <a:hlinkClick xmlns:r="http://schemas.openxmlformats.org/officeDocument/2006/relationships" r:id="rId2"/>
          <a:extLst>
            <a:ext uri="{FF2B5EF4-FFF2-40B4-BE49-F238E27FC236}">
              <a16:creationId xmlns:a16="http://schemas.microsoft.com/office/drawing/2014/main" id="{75B06448-B830-4F85-884D-D19E796FF80F}"/>
            </a:ext>
          </a:extLst>
        </xdr:cNvPr>
        <xdr:cNvSpPr/>
      </xdr:nvSpPr>
      <xdr:spPr>
        <a:xfrm flipH="1">
          <a:off x="199159" y="86592"/>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17</xdr:col>
      <xdr:colOff>294409</xdr:colOff>
      <xdr:row>1</xdr:row>
      <xdr:rowOff>372341</xdr:rowOff>
    </xdr:from>
    <xdr:to>
      <xdr:col>20</xdr:col>
      <xdr:colOff>335974</xdr:colOff>
      <xdr:row>12</xdr:row>
      <xdr:rowOff>295272</xdr:rowOff>
    </xdr:to>
    <xdr:grpSp>
      <xdr:nvGrpSpPr>
        <xdr:cNvPr id="7" name="グループ化 6">
          <a:extLst>
            <a:ext uri="{FF2B5EF4-FFF2-40B4-BE49-F238E27FC236}">
              <a16:creationId xmlns:a16="http://schemas.microsoft.com/office/drawing/2014/main" id="{65CD9BE5-22A0-4548-9BA6-65F15CE2F080}"/>
            </a:ext>
          </a:extLst>
        </xdr:cNvPr>
        <xdr:cNvGrpSpPr/>
      </xdr:nvGrpSpPr>
      <xdr:grpSpPr>
        <a:xfrm>
          <a:off x="15801109" y="524741"/>
          <a:ext cx="3384840" cy="3332881"/>
          <a:chOff x="15781196" y="523877"/>
          <a:chExt cx="3392633" cy="3343272"/>
        </a:xfrm>
      </xdr:grpSpPr>
      <xdr:sp macro="" textlink="">
        <xdr:nvSpPr>
          <xdr:cNvPr id="10" name="正方形/長方形 9">
            <a:extLst>
              <a:ext uri="{FF2B5EF4-FFF2-40B4-BE49-F238E27FC236}">
                <a16:creationId xmlns:a16="http://schemas.microsoft.com/office/drawing/2014/main" id="{257957CE-B7F3-E40C-CBC3-992D333E1785}"/>
              </a:ext>
            </a:extLst>
          </xdr:cNvPr>
          <xdr:cNvSpPr/>
        </xdr:nvSpPr>
        <xdr:spPr>
          <a:xfrm>
            <a:off x="15781196" y="523877"/>
            <a:ext cx="3392633" cy="1483610"/>
          </a:xfrm>
          <a:prstGeom prst="rect">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１．社会保険適用促進手当は、標準報酬月額には算入しないが、</a:t>
            </a:r>
            <a:r>
              <a:rPr kumimoji="1" lang="ja-JP" altLang="en-US" sz="11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税計算の年収には算入する</a:t>
            </a:r>
            <a:r>
              <a:rPr kumimoji="1" lang="ja-JP" altLang="en-US" sz="1100" b="1" i="0" u="none" strike="noStrike" kern="0" cap="none" spc="0" normalizeH="0" baseline="0" noProof="0">
                <a:ln>
                  <a:noFill/>
                </a:ln>
                <a:solidFill>
                  <a:schemeClr val="tx1"/>
                </a:solidFill>
                <a:effectLst/>
                <a:uLnTx/>
                <a:uFillTx/>
                <a:latin typeface="Calibri"/>
                <a:ea typeface="ＭＳ Ｐゴシック" panose="020B0600070205080204" pitchFamily="50" charset="-128"/>
                <a:cs typeface="+mn-cs"/>
              </a:rPr>
              <a:t>（対応済み）。</a:t>
            </a:r>
            <a:endParaRPr kumimoji="1" lang="en-US" altLang="ja-JP" sz="1100" b="1" i="0" u="none" strike="noStrike" kern="0" cap="none" spc="0" normalizeH="0" baseline="0" noProof="0">
              <a:ln>
                <a:noFill/>
              </a:ln>
              <a:solidFill>
                <a:schemeClr val="tx1"/>
              </a:solidFill>
              <a:effectLst/>
              <a:uLnTx/>
              <a:uFillTx/>
              <a:latin typeface="Calibri"/>
              <a:ea typeface="ＭＳ Ｐゴシック" panose="020B0600070205080204" pitchFamily="50" charset="-128"/>
              <a:cs typeface="+mn-cs"/>
            </a:endParaRPr>
          </a:p>
          <a:p>
            <a:r>
              <a:rPr kumimoji="1" lang="ja-JP" altLang="en-US" sz="1100" b="1">
                <a:effectLst/>
                <a:latin typeface="+mn-lt"/>
                <a:ea typeface="+mn-ea"/>
                <a:cs typeface="+mn-cs"/>
              </a:rPr>
              <a:t>２．</a:t>
            </a:r>
            <a:r>
              <a:rPr kumimoji="1" lang="ja-JP" altLang="ja-JP" sz="1100" b="1">
                <a:effectLst/>
                <a:latin typeface="+mn-lt"/>
                <a:ea typeface="+mn-ea"/>
                <a:cs typeface="+mn-cs"/>
              </a:rPr>
              <a:t>社会保険適用促進手当は、標準報酬月額が</a:t>
            </a:r>
            <a:r>
              <a:rPr kumimoji="1" lang="en-US" altLang="ja-JP" sz="1100" b="1">
                <a:effectLst/>
                <a:latin typeface="+mn-lt"/>
                <a:ea typeface="+mn-ea"/>
                <a:cs typeface="+mn-cs"/>
              </a:rPr>
              <a:t>104</a:t>
            </a:r>
            <a:r>
              <a:rPr kumimoji="1" lang="ja-JP" altLang="ja-JP" sz="1100" b="1">
                <a:effectLst/>
                <a:latin typeface="+mn-lt"/>
                <a:ea typeface="+mn-ea"/>
                <a:cs typeface="+mn-cs"/>
              </a:rPr>
              <a:t>，</a:t>
            </a:r>
            <a:r>
              <a:rPr kumimoji="1" lang="en-US" altLang="ja-JP" sz="1100" b="1">
                <a:effectLst/>
                <a:latin typeface="+mn-lt"/>
                <a:ea typeface="+mn-ea"/>
                <a:cs typeface="+mn-cs"/>
              </a:rPr>
              <a:t>000</a:t>
            </a:r>
            <a:r>
              <a:rPr kumimoji="1" lang="ja-JP" altLang="ja-JP" sz="1100" b="1">
                <a:effectLst/>
                <a:latin typeface="+mn-lt"/>
                <a:ea typeface="+mn-ea"/>
                <a:cs typeface="+mn-cs"/>
              </a:rPr>
              <a:t>円までは社会保険の計算から除外、</a:t>
            </a:r>
            <a:r>
              <a:rPr kumimoji="1" lang="ja-JP" altLang="en-US" sz="1100" b="1">
                <a:effectLst/>
                <a:latin typeface="+mn-lt"/>
                <a:ea typeface="+mn-ea"/>
                <a:cs typeface="+mn-cs"/>
              </a:rPr>
              <a:t>ただし</a:t>
            </a:r>
            <a:r>
              <a:rPr kumimoji="1" lang="ja-JP" altLang="ja-JP" sz="1100" b="1">
                <a:effectLst/>
                <a:latin typeface="+mn-lt"/>
                <a:ea typeface="+mn-ea"/>
                <a:cs typeface="+mn-cs"/>
              </a:rPr>
              <a:t>超えると算入される</a:t>
            </a:r>
            <a:r>
              <a:rPr kumimoji="1" lang="ja-JP" altLang="en-US" sz="1100" b="1">
                <a:effectLst/>
                <a:latin typeface="+mn-lt"/>
                <a:ea typeface="+mn-ea"/>
                <a:cs typeface="+mn-cs"/>
              </a:rPr>
              <a:t>（対応済み）。</a:t>
            </a:r>
            <a:endParaRPr kumimoji="1" lang="en-US" altLang="ja-JP" sz="1100" b="1">
              <a:effectLst/>
              <a:latin typeface="+mn-lt"/>
              <a:ea typeface="+mn-ea"/>
              <a:cs typeface="+mn-cs"/>
            </a:endParaRPr>
          </a:p>
          <a:p>
            <a:r>
              <a:rPr kumimoji="1" lang="ja-JP" altLang="en-US" sz="1100" b="1" i="0" baseline="0">
                <a:effectLst/>
                <a:latin typeface="+mn-lt"/>
                <a:ea typeface="+mn-ea"/>
                <a:cs typeface="+mn-cs"/>
              </a:rPr>
              <a:t>３．</a:t>
            </a:r>
            <a:r>
              <a:rPr kumimoji="1" lang="ja-JP" altLang="ja-JP" sz="1100" b="1" i="0" baseline="0">
                <a:effectLst/>
                <a:latin typeface="+mn-lt"/>
                <a:ea typeface="+mn-ea"/>
                <a:cs typeface="+mn-cs"/>
              </a:rPr>
              <a:t>社会保険適用促進手当</a:t>
            </a:r>
            <a:r>
              <a:rPr kumimoji="1" lang="ja-JP" altLang="en-US" sz="1100" b="1" i="0" baseline="0">
                <a:effectLst/>
                <a:latin typeface="+mn-lt"/>
                <a:ea typeface="+mn-ea"/>
                <a:cs typeface="+mn-cs"/>
              </a:rPr>
              <a:t>は、社会保険料を超えたときの</a:t>
            </a:r>
            <a:r>
              <a:rPr kumimoji="1" lang="ja-JP" altLang="en-US" sz="1100" b="1" i="0" baseline="0">
                <a:solidFill>
                  <a:srgbClr val="FF0000"/>
                </a:solidFill>
                <a:effectLst/>
                <a:latin typeface="+mn-lt"/>
                <a:ea typeface="+mn-ea"/>
                <a:cs typeface="+mn-cs"/>
              </a:rPr>
              <a:t>超過分は税計算に算入する</a:t>
            </a:r>
            <a:r>
              <a:rPr kumimoji="1" lang="ja-JP" altLang="en-US" sz="1100" b="1" i="0" baseline="0">
                <a:solidFill>
                  <a:schemeClr val="tx1"/>
                </a:solidFill>
                <a:effectLst/>
                <a:latin typeface="+mn-lt"/>
                <a:ea typeface="+mn-ea"/>
                <a:cs typeface="+mn-cs"/>
              </a:rPr>
              <a:t>（不対応）。</a:t>
            </a:r>
            <a:endParaRPr kumimoji="1" lang="ja-JP" altLang="en-US" sz="1100" b="1" i="0" u="none" strike="noStrike" kern="0" cap="none" spc="0" normalizeH="0" baseline="0" noProof="0">
              <a:ln>
                <a:noFill/>
              </a:ln>
              <a:solidFill>
                <a:schemeClr val="tx1"/>
              </a:solidFill>
              <a:effectLst/>
              <a:uLnTx/>
              <a:uFillTx/>
              <a:latin typeface="Calibri"/>
              <a:ea typeface="ＭＳ Ｐゴシック" panose="020B0600070205080204" pitchFamily="50" charset="-128"/>
              <a:cs typeface="+mn-cs"/>
            </a:endParaRPr>
          </a:p>
        </xdr:txBody>
      </xdr:sp>
      <xdr:sp macro="" textlink="">
        <xdr:nvSpPr>
          <xdr:cNvPr id="13" name="矢印: 右カーブ 12">
            <a:extLst>
              <a:ext uri="{FF2B5EF4-FFF2-40B4-BE49-F238E27FC236}">
                <a16:creationId xmlns:a16="http://schemas.microsoft.com/office/drawing/2014/main" id="{1609C1E2-2A48-8C5D-F312-2AE863672758}"/>
              </a:ext>
            </a:extLst>
          </xdr:cNvPr>
          <xdr:cNvSpPr/>
        </xdr:nvSpPr>
        <xdr:spPr>
          <a:xfrm>
            <a:off x="15992475" y="1952624"/>
            <a:ext cx="666750" cy="1914525"/>
          </a:xfrm>
          <a:prstGeom prst="curvedRightArrow">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136806</xdr:colOff>
      <xdr:row>11</xdr:row>
      <xdr:rowOff>277943</xdr:rowOff>
    </xdr:from>
    <xdr:to>
      <xdr:col>16</xdr:col>
      <xdr:colOff>1876415</xdr:colOff>
      <xdr:row>13</xdr:row>
      <xdr:rowOff>148055</xdr:rowOff>
    </xdr:to>
    <xdr:grpSp>
      <xdr:nvGrpSpPr>
        <xdr:cNvPr id="7" name="グループ化 6">
          <a:extLst>
            <a:ext uri="{FF2B5EF4-FFF2-40B4-BE49-F238E27FC236}">
              <a16:creationId xmlns:a16="http://schemas.microsoft.com/office/drawing/2014/main" id="{96526246-E0F8-43A5-9F28-9DF25B59429A}"/>
            </a:ext>
          </a:extLst>
        </xdr:cNvPr>
        <xdr:cNvGrpSpPr/>
      </xdr:nvGrpSpPr>
      <xdr:grpSpPr>
        <a:xfrm>
          <a:off x="16729356" y="3706943"/>
          <a:ext cx="1739609" cy="479712"/>
          <a:chOff x="14789577" y="5215071"/>
          <a:chExt cx="1359477" cy="320386"/>
        </a:xfrm>
      </xdr:grpSpPr>
      <xdr:sp macro="" textlink="">
        <xdr:nvSpPr>
          <xdr:cNvPr id="8" name="正方形/長方形 7">
            <a:extLst>
              <a:ext uri="{FF2B5EF4-FFF2-40B4-BE49-F238E27FC236}">
                <a16:creationId xmlns:a16="http://schemas.microsoft.com/office/drawing/2014/main" id="{0A93F969-2A44-1A27-BA3D-E08CF5F2B702}"/>
              </a:ext>
            </a:extLst>
          </xdr:cNvPr>
          <xdr:cNvSpPr/>
        </xdr:nvSpPr>
        <xdr:spPr>
          <a:xfrm>
            <a:off x="14928122" y="5215071"/>
            <a:ext cx="1220932" cy="320386"/>
          </a:xfrm>
          <a:prstGeom prst="rect">
            <a:avLst/>
          </a:prstGeom>
          <a:ln>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t>ご提案したい新契約（お勧め）</a:t>
            </a:r>
          </a:p>
        </xdr:txBody>
      </xdr:sp>
      <xdr:sp macro="" textlink="">
        <xdr:nvSpPr>
          <xdr:cNvPr id="9" name="矢印: 左 8">
            <a:extLst>
              <a:ext uri="{FF2B5EF4-FFF2-40B4-BE49-F238E27FC236}">
                <a16:creationId xmlns:a16="http://schemas.microsoft.com/office/drawing/2014/main" id="{042D7D8E-C67A-0F8D-3C9F-2282DC758E9B}"/>
              </a:ext>
            </a:extLst>
          </xdr:cNvPr>
          <xdr:cNvSpPr/>
        </xdr:nvSpPr>
        <xdr:spPr>
          <a:xfrm>
            <a:off x="14789577" y="5260659"/>
            <a:ext cx="138545" cy="207818"/>
          </a:xfrm>
          <a:prstGeom prst="leftArrow">
            <a:avLst/>
          </a:prstGeom>
          <a:solidFill>
            <a:srgbClr val="0000FF"/>
          </a:solid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114300</xdr:colOff>
      <xdr:row>8</xdr:row>
      <xdr:rowOff>800100</xdr:rowOff>
    </xdr:from>
    <xdr:to>
      <xdr:col>16</xdr:col>
      <xdr:colOff>1806283</xdr:colOff>
      <xdr:row>11</xdr:row>
      <xdr:rowOff>146338</xdr:rowOff>
    </xdr:to>
    <xdr:grpSp>
      <xdr:nvGrpSpPr>
        <xdr:cNvPr id="11" name="グループ化 10">
          <a:extLst>
            <a:ext uri="{FF2B5EF4-FFF2-40B4-BE49-F238E27FC236}">
              <a16:creationId xmlns:a16="http://schemas.microsoft.com/office/drawing/2014/main" id="{43F12F14-77C1-48FB-9312-652582445A78}"/>
            </a:ext>
          </a:extLst>
        </xdr:cNvPr>
        <xdr:cNvGrpSpPr/>
      </xdr:nvGrpSpPr>
      <xdr:grpSpPr>
        <a:xfrm>
          <a:off x="16706850" y="3095625"/>
          <a:ext cx="1691983" cy="479713"/>
          <a:chOff x="14841682" y="5221430"/>
          <a:chExt cx="1359475" cy="320386"/>
        </a:xfrm>
      </xdr:grpSpPr>
      <xdr:sp macro="" textlink="">
        <xdr:nvSpPr>
          <xdr:cNvPr id="12" name="正方形/長方形 11">
            <a:extLst>
              <a:ext uri="{FF2B5EF4-FFF2-40B4-BE49-F238E27FC236}">
                <a16:creationId xmlns:a16="http://schemas.microsoft.com/office/drawing/2014/main" id="{2047C004-E27A-8A9B-2FA8-4560E7C2C8FD}"/>
              </a:ext>
            </a:extLst>
          </xdr:cNvPr>
          <xdr:cNvSpPr/>
        </xdr:nvSpPr>
        <xdr:spPr>
          <a:xfrm>
            <a:off x="14980225" y="5221430"/>
            <a:ext cx="1220932" cy="320386"/>
          </a:xfrm>
          <a:prstGeom prst="rect">
            <a:avLst/>
          </a:prstGeom>
          <a:solidFill>
            <a:sysClr val="window" lastClr="FFFFFF"/>
          </a:solidFill>
          <a:ln w="25400" cap="flat" cmpd="sng" algn="ctr">
            <a:solidFill>
              <a:srgbClr val="0000FF"/>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新契約の給与の詳細です！</a:t>
            </a:r>
          </a:p>
        </xdr:txBody>
      </xdr:sp>
      <xdr:sp macro="" textlink="">
        <xdr:nvSpPr>
          <xdr:cNvPr id="13" name="矢印: 左 12">
            <a:extLst>
              <a:ext uri="{FF2B5EF4-FFF2-40B4-BE49-F238E27FC236}">
                <a16:creationId xmlns:a16="http://schemas.microsoft.com/office/drawing/2014/main" id="{8F5AC12B-D520-7377-3F5D-A273D0F438E8}"/>
              </a:ext>
            </a:extLst>
          </xdr:cNvPr>
          <xdr:cNvSpPr/>
        </xdr:nvSpPr>
        <xdr:spPr>
          <a:xfrm>
            <a:off x="14841682" y="5273386"/>
            <a:ext cx="138545" cy="207818"/>
          </a:xfrm>
          <a:prstGeom prst="leftArrow">
            <a:avLst/>
          </a:prstGeom>
          <a:solidFill>
            <a:srgbClr val="0000FF"/>
          </a:solidFill>
          <a:ln w="25400" cap="flat" cmpd="sng" algn="ctr">
            <a:solidFill>
              <a:srgbClr val="0000FF"/>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grpSp>
    <xdr:clientData/>
  </xdr:twoCellAnchor>
  <xdr:twoCellAnchor>
    <xdr:from>
      <xdr:col>11</xdr:col>
      <xdr:colOff>178809</xdr:colOff>
      <xdr:row>0</xdr:row>
      <xdr:rowOff>169717</xdr:rowOff>
    </xdr:from>
    <xdr:to>
      <xdr:col>15</xdr:col>
      <xdr:colOff>131184</xdr:colOff>
      <xdr:row>1</xdr:row>
      <xdr:rowOff>150667</xdr:rowOff>
    </xdr:to>
    <xdr:sp macro="" textlink="">
      <xdr:nvSpPr>
        <xdr:cNvPr id="17" name="四角形: 角を丸くする 16">
          <a:extLst>
            <a:ext uri="{FF2B5EF4-FFF2-40B4-BE49-F238E27FC236}">
              <a16:creationId xmlns:a16="http://schemas.microsoft.com/office/drawing/2014/main" id="{534A497A-D997-4B07-835E-021B52289D11}"/>
            </a:ext>
          </a:extLst>
        </xdr:cNvPr>
        <xdr:cNvSpPr/>
      </xdr:nvSpPr>
      <xdr:spPr>
        <a:xfrm>
          <a:off x="11637384" y="169717"/>
          <a:ext cx="4152900" cy="371475"/>
        </a:xfrm>
        <a:prstGeom prst="roundRect">
          <a:avLst/>
        </a:prstGeom>
        <a:solidFill>
          <a:srgbClr val="3333FF"/>
        </a:solidFill>
        <a:ln w="25400" cap="flat" cmpd="sng" algn="ctr">
          <a:solidFill>
            <a:srgbClr val="0066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社会保険加入者</a:t>
          </a:r>
          <a:r>
            <a:rPr kumimoji="1" lang="ja-JP" altLang="en-US" sz="1600" b="0" i="0" u="none" strike="noStrike" kern="0" cap="none" spc="0" normalizeH="0" baseline="0" noProof="0">
              <a:ln>
                <a:noFill/>
              </a:ln>
              <a:solidFill>
                <a:srgbClr val="99FFCC"/>
              </a:solidFill>
              <a:effectLst/>
              <a:uLnTx/>
              <a:uFillTx/>
              <a:latin typeface="Calibri"/>
              <a:ea typeface="ＭＳ Ｐゴシック" panose="020B0600070205080204" pitchFamily="50" charset="-128"/>
              <a:cs typeface="+mn-cs"/>
            </a:rPr>
            <a:t>１０１人以上</a:t>
          </a:r>
          <a:r>
            <a:rPr kumimoji="1" lang="ja-JP" altLang="en-US" sz="16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の企業が対象！</a:t>
          </a:r>
        </a:p>
      </xdr:txBody>
    </xdr:sp>
    <xdr:clientData/>
  </xdr:twoCellAnchor>
  <xdr:twoCellAnchor>
    <xdr:from>
      <xdr:col>8</xdr:col>
      <xdr:colOff>26409</xdr:colOff>
      <xdr:row>0</xdr:row>
      <xdr:rowOff>200025</xdr:rowOff>
    </xdr:from>
    <xdr:to>
      <xdr:col>10</xdr:col>
      <xdr:colOff>1236084</xdr:colOff>
      <xdr:row>1</xdr:row>
      <xdr:rowOff>190500</xdr:rowOff>
    </xdr:to>
    <xdr:sp macro="" textlink="">
      <xdr:nvSpPr>
        <xdr:cNvPr id="18" name="四角形: 角を丸くする 17">
          <a:extLst>
            <a:ext uri="{FF2B5EF4-FFF2-40B4-BE49-F238E27FC236}">
              <a16:creationId xmlns:a16="http://schemas.microsoft.com/office/drawing/2014/main" id="{4EA5F0B1-7C86-0FAF-1EC2-5B8EA9B587F8}"/>
            </a:ext>
          </a:extLst>
        </xdr:cNvPr>
        <xdr:cNvSpPr/>
      </xdr:nvSpPr>
      <xdr:spPr>
        <a:xfrm>
          <a:off x="7713084" y="200025"/>
          <a:ext cx="3724275" cy="381000"/>
        </a:xfrm>
        <a:prstGeom prst="roundRect">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t>手当等支給メニュー</a:t>
          </a:r>
        </a:p>
      </xdr:txBody>
    </xdr:sp>
    <xdr:clientData/>
  </xdr:twoCellAnchor>
  <xdr:twoCellAnchor>
    <xdr:from>
      <xdr:col>3</xdr:col>
      <xdr:colOff>238125</xdr:colOff>
      <xdr:row>0</xdr:row>
      <xdr:rowOff>200025</xdr:rowOff>
    </xdr:from>
    <xdr:to>
      <xdr:col>7</xdr:col>
      <xdr:colOff>1083684</xdr:colOff>
      <xdr:row>1</xdr:row>
      <xdr:rowOff>215612</xdr:rowOff>
    </xdr:to>
    <xdr:sp macro="" textlink="">
      <xdr:nvSpPr>
        <xdr:cNvPr id="19" name="正方形/長方形 18">
          <a:extLst>
            <a:ext uri="{FF2B5EF4-FFF2-40B4-BE49-F238E27FC236}">
              <a16:creationId xmlns:a16="http://schemas.microsoft.com/office/drawing/2014/main" id="{80FA83C7-094D-6B63-C270-85564AA0737B}"/>
            </a:ext>
          </a:extLst>
        </xdr:cNvPr>
        <xdr:cNvSpPr/>
      </xdr:nvSpPr>
      <xdr:spPr>
        <a:xfrm>
          <a:off x="2276475" y="200025"/>
          <a:ext cx="5236584" cy="406112"/>
        </a:xfrm>
        <a:prstGeom prst="rect">
          <a:avLst/>
        </a:prstGeom>
        <a:solidFill>
          <a:srgbClr val="0000FF"/>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600" u="sng">
              <a:solidFill>
                <a:schemeClr val="bg1"/>
              </a:solidFill>
            </a:rPr>
            <a:t>キャリアアップ助成金（社会保険適用時処遇改善コース）</a:t>
          </a:r>
          <a:endParaRPr kumimoji="1" lang="en-US" altLang="ja-JP" sz="1600" u="sng">
            <a:solidFill>
              <a:schemeClr val="bg1"/>
            </a:solidFill>
          </a:endParaRPr>
        </a:p>
      </xdr:txBody>
    </xdr:sp>
    <xdr:clientData/>
  </xdr:twoCellAnchor>
  <xdr:twoCellAnchor>
    <xdr:from>
      <xdr:col>1</xdr:col>
      <xdr:colOff>0</xdr:colOff>
      <xdr:row>0</xdr:row>
      <xdr:rowOff>190500</xdr:rowOff>
    </xdr:from>
    <xdr:to>
      <xdr:col>2</xdr:col>
      <xdr:colOff>1126547</xdr:colOff>
      <xdr:row>1</xdr:row>
      <xdr:rowOff>83994</xdr:rowOff>
    </xdr:to>
    <xdr:sp macro="" textlink="">
      <xdr:nvSpPr>
        <xdr:cNvPr id="4" name="矢印: 五方向 3">
          <a:hlinkClick xmlns:r="http://schemas.openxmlformats.org/officeDocument/2006/relationships" r:id="rId1"/>
          <a:extLst>
            <a:ext uri="{FF2B5EF4-FFF2-40B4-BE49-F238E27FC236}">
              <a16:creationId xmlns:a16="http://schemas.microsoft.com/office/drawing/2014/main" id="{12E95783-6BA3-4C12-9929-C74C241B0BAB}"/>
            </a:ext>
          </a:extLst>
        </xdr:cNvPr>
        <xdr:cNvSpPr/>
      </xdr:nvSpPr>
      <xdr:spPr>
        <a:xfrm flipH="1">
          <a:off x="200025" y="190500"/>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17</xdr:col>
      <xdr:colOff>171450</xdr:colOff>
      <xdr:row>18</xdr:row>
      <xdr:rowOff>247650</xdr:rowOff>
    </xdr:from>
    <xdr:to>
      <xdr:col>18</xdr:col>
      <xdr:colOff>767832</xdr:colOff>
      <xdr:row>22</xdr:row>
      <xdr:rowOff>28563</xdr:rowOff>
    </xdr:to>
    <xdr:grpSp>
      <xdr:nvGrpSpPr>
        <xdr:cNvPr id="2" name="グループ化 1">
          <a:extLst>
            <a:ext uri="{FF2B5EF4-FFF2-40B4-BE49-F238E27FC236}">
              <a16:creationId xmlns:a16="http://schemas.microsoft.com/office/drawing/2014/main" id="{54EE05AB-7B91-4E2C-A27D-03D0CD45885F}"/>
            </a:ext>
          </a:extLst>
        </xdr:cNvPr>
        <xdr:cNvGrpSpPr/>
      </xdr:nvGrpSpPr>
      <xdr:grpSpPr>
        <a:xfrm>
          <a:off x="18726150" y="5810250"/>
          <a:ext cx="1282182" cy="1000113"/>
          <a:chOff x="14752357" y="5094203"/>
          <a:chExt cx="1002005" cy="667946"/>
        </a:xfrm>
      </xdr:grpSpPr>
      <xdr:sp macro="" textlink="">
        <xdr:nvSpPr>
          <xdr:cNvPr id="3" name="正方形/長方形 2">
            <a:extLst>
              <a:ext uri="{FF2B5EF4-FFF2-40B4-BE49-F238E27FC236}">
                <a16:creationId xmlns:a16="http://schemas.microsoft.com/office/drawing/2014/main" id="{DB0794BD-E02E-C7FA-2766-44C2A1407548}"/>
              </a:ext>
            </a:extLst>
          </xdr:cNvPr>
          <xdr:cNvSpPr/>
        </xdr:nvSpPr>
        <xdr:spPr>
          <a:xfrm>
            <a:off x="14890905" y="5094203"/>
            <a:ext cx="863457" cy="667946"/>
          </a:xfrm>
          <a:prstGeom prst="rect">
            <a:avLst/>
          </a:prstGeom>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指標は、個別に移動して提案して下さい！</a:t>
            </a:r>
          </a:p>
        </xdr:txBody>
      </xdr:sp>
      <xdr:sp macro="" textlink="">
        <xdr:nvSpPr>
          <xdr:cNvPr id="5" name="矢印: 左 4">
            <a:extLst>
              <a:ext uri="{FF2B5EF4-FFF2-40B4-BE49-F238E27FC236}">
                <a16:creationId xmlns:a16="http://schemas.microsoft.com/office/drawing/2014/main" id="{D67CFC7F-6439-DBA2-0D8A-694A0933B0BC}"/>
              </a:ext>
            </a:extLst>
          </xdr:cNvPr>
          <xdr:cNvSpPr/>
        </xdr:nvSpPr>
        <xdr:spPr>
          <a:xfrm>
            <a:off x="14752357" y="5324274"/>
            <a:ext cx="138545" cy="207817"/>
          </a:xfrm>
          <a:prstGeom prst="leftArrow">
            <a:avLst/>
          </a:prstGeom>
          <a:solidFill>
            <a:srgbClr val="FFFF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1000125</xdr:colOff>
      <xdr:row>13</xdr:row>
      <xdr:rowOff>0</xdr:rowOff>
    </xdr:from>
    <xdr:to>
      <xdr:col>12</xdr:col>
      <xdr:colOff>254000</xdr:colOff>
      <xdr:row>13</xdr:row>
      <xdr:rowOff>142875</xdr:rowOff>
    </xdr:to>
    <xdr:sp macro="" textlink="">
      <xdr:nvSpPr>
        <xdr:cNvPr id="2" name="矢印: 左右 1">
          <a:extLst>
            <a:ext uri="{FF2B5EF4-FFF2-40B4-BE49-F238E27FC236}">
              <a16:creationId xmlns:a16="http://schemas.microsoft.com/office/drawing/2014/main" id="{576E9548-C7B9-45AB-9548-475F8F5E51A0}"/>
            </a:ext>
          </a:extLst>
        </xdr:cNvPr>
        <xdr:cNvSpPr/>
      </xdr:nvSpPr>
      <xdr:spPr>
        <a:xfrm>
          <a:off x="11239500" y="4105275"/>
          <a:ext cx="368300" cy="142875"/>
        </a:xfrm>
        <a:prstGeom prst="leftRightArrow">
          <a:avLst/>
        </a:prstGeom>
        <a:solidFill>
          <a:schemeClr val="accent4">
            <a:lumMod val="75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142874</xdr:colOff>
      <xdr:row>4</xdr:row>
      <xdr:rowOff>77932</xdr:rowOff>
    </xdr:from>
    <xdr:to>
      <xdr:col>17</xdr:col>
      <xdr:colOff>510886</xdr:colOff>
      <xdr:row>5</xdr:row>
      <xdr:rowOff>15874</xdr:rowOff>
    </xdr:to>
    <xdr:sp macro="" textlink="">
      <xdr:nvSpPr>
        <xdr:cNvPr id="3" name="矢印: 右 2">
          <a:extLst>
            <a:ext uri="{FF2B5EF4-FFF2-40B4-BE49-F238E27FC236}">
              <a16:creationId xmlns:a16="http://schemas.microsoft.com/office/drawing/2014/main" id="{0C1BAA7F-9CDA-4947-BE6A-2A226E36F890}"/>
            </a:ext>
          </a:extLst>
        </xdr:cNvPr>
        <xdr:cNvSpPr/>
      </xdr:nvSpPr>
      <xdr:spPr>
        <a:xfrm>
          <a:off x="15716249" y="1449532"/>
          <a:ext cx="1453862" cy="318942"/>
        </a:xfrm>
        <a:prstGeom prst="rightArrow">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142874</xdr:colOff>
      <xdr:row>4</xdr:row>
      <xdr:rowOff>34636</xdr:rowOff>
    </xdr:from>
    <xdr:to>
      <xdr:col>29</xdr:col>
      <xdr:colOff>325437</xdr:colOff>
      <xdr:row>5</xdr:row>
      <xdr:rowOff>15874</xdr:rowOff>
    </xdr:to>
    <xdr:sp macro="" textlink="">
      <xdr:nvSpPr>
        <xdr:cNvPr id="4" name="矢印: 右 3">
          <a:extLst>
            <a:ext uri="{FF2B5EF4-FFF2-40B4-BE49-F238E27FC236}">
              <a16:creationId xmlns:a16="http://schemas.microsoft.com/office/drawing/2014/main" id="{3FC14188-EEBA-433C-908F-42D313CF2E8E}"/>
            </a:ext>
          </a:extLst>
        </xdr:cNvPr>
        <xdr:cNvSpPr/>
      </xdr:nvSpPr>
      <xdr:spPr>
        <a:xfrm>
          <a:off x="30984824" y="1406236"/>
          <a:ext cx="1316038" cy="362238"/>
        </a:xfrm>
        <a:prstGeom prst="rightArrow">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142874</xdr:colOff>
      <xdr:row>4</xdr:row>
      <xdr:rowOff>51955</xdr:rowOff>
    </xdr:from>
    <xdr:to>
      <xdr:col>35</xdr:col>
      <xdr:colOff>1368136</xdr:colOff>
      <xdr:row>5</xdr:row>
      <xdr:rowOff>15875</xdr:rowOff>
    </xdr:to>
    <xdr:sp macro="" textlink="">
      <xdr:nvSpPr>
        <xdr:cNvPr id="5" name="矢印: 右 4">
          <a:extLst>
            <a:ext uri="{FF2B5EF4-FFF2-40B4-BE49-F238E27FC236}">
              <a16:creationId xmlns:a16="http://schemas.microsoft.com/office/drawing/2014/main" id="{A73A4677-FF94-4476-A789-2B08513DF7CA}"/>
            </a:ext>
          </a:extLst>
        </xdr:cNvPr>
        <xdr:cNvSpPr/>
      </xdr:nvSpPr>
      <xdr:spPr>
        <a:xfrm>
          <a:off x="38957249" y="1423555"/>
          <a:ext cx="1225262" cy="344920"/>
        </a:xfrm>
        <a:prstGeom prst="rightArrow">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337705</xdr:colOff>
      <xdr:row>1</xdr:row>
      <xdr:rowOff>51954</xdr:rowOff>
    </xdr:from>
    <xdr:to>
      <xdr:col>20</xdr:col>
      <xdr:colOff>779317</xdr:colOff>
      <xdr:row>2</xdr:row>
      <xdr:rowOff>138545</xdr:rowOff>
    </xdr:to>
    <xdr:grpSp>
      <xdr:nvGrpSpPr>
        <xdr:cNvPr id="7" name="グループ化 6">
          <a:extLst>
            <a:ext uri="{FF2B5EF4-FFF2-40B4-BE49-F238E27FC236}">
              <a16:creationId xmlns:a16="http://schemas.microsoft.com/office/drawing/2014/main" id="{A4094463-FB26-4465-AAEE-D2AEDB34445E}"/>
            </a:ext>
          </a:extLst>
        </xdr:cNvPr>
        <xdr:cNvGrpSpPr/>
      </xdr:nvGrpSpPr>
      <xdr:grpSpPr>
        <a:xfrm>
          <a:off x="15911080" y="242454"/>
          <a:ext cx="4508787" cy="572366"/>
          <a:chOff x="10096501" y="1853046"/>
          <a:chExt cx="4502725" cy="571500"/>
        </a:xfrm>
      </xdr:grpSpPr>
      <xdr:sp macro="" textlink="">
        <xdr:nvSpPr>
          <xdr:cNvPr id="8" name="正方形/長方形 7">
            <a:extLst>
              <a:ext uri="{FF2B5EF4-FFF2-40B4-BE49-F238E27FC236}">
                <a16:creationId xmlns:a16="http://schemas.microsoft.com/office/drawing/2014/main" id="{80D79DCA-4604-2A55-3AAC-A6C523F6B1F5}"/>
              </a:ext>
            </a:extLst>
          </xdr:cNvPr>
          <xdr:cNvSpPr/>
        </xdr:nvSpPr>
        <xdr:spPr>
          <a:xfrm>
            <a:off x="10538113" y="1861705"/>
            <a:ext cx="4061113" cy="476250"/>
          </a:xfrm>
          <a:prstGeom prst="rect">
            <a:avLst/>
          </a:prstGeom>
          <a:solidFill>
            <a:srgbClr val="0000FF"/>
          </a:solid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a:solidFill>
                  <a:schemeClr val="lt1"/>
                </a:solidFill>
                <a:effectLst/>
                <a:latin typeface="+mn-lt"/>
                <a:ea typeface="+mn-ea"/>
                <a:cs typeface="+mn-cs"/>
              </a:rPr>
              <a:t>このシートの設計変更は制限させていただきます！</a:t>
            </a:r>
            <a:endParaRPr lang="ja-JP" altLang="ja-JP" sz="1400">
              <a:effectLst/>
            </a:endParaRPr>
          </a:p>
          <a:p>
            <a:pPr algn="l"/>
            <a:endParaRPr kumimoji="1" lang="ja-JP" altLang="en-US" sz="1400"/>
          </a:p>
        </xdr:txBody>
      </xdr:sp>
      <xdr:pic>
        <xdr:nvPicPr>
          <xdr:cNvPr id="9" name="図 8">
            <a:extLst>
              <a:ext uri="{FF2B5EF4-FFF2-40B4-BE49-F238E27FC236}">
                <a16:creationId xmlns:a16="http://schemas.microsoft.com/office/drawing/2014/main" id="{C22F7157-BEAA-2140-D85F-D7351DA0B1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96501" y="1853046"/>
            <a:ext cx="470671" cy="5715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1058573</xdr:colOff>
      <xdr:row>12</xdr:row>
      <xdr:rowOff>355022</xdr:rowOff>
    </xdr:from>
    <xdr:to>
      <xdr:col>10</xdr:col>
      <xdr:colOff>162358</xdr:colOff>
      <xdr:row>13</xdr:row>
      <xdr:rowOff>147204</xdr:rowOff>
    </xdr:to>
    <xdr:sp macro="" textlink="">
      <xdr:nvSpPr>
        <xdr:cNvPr id="12" name="矢印: 下 11">
          <a:extLst>
            <a:ext uri="{FF2B5EF4-FFF2-40B4-BE49-F238E27FC236}">
              <a16:creationId xmlns:a16="http://schemas.microsoft.com/office/drawing/2014/main" id="{77E8F513-8698-4EC0-9112-FE3B745A72B4}"/>
            </a:ext>
          </a:extLst>
        </xdr:cNvPr>
        <xdr:cNvSpPr/>
      </xdr:nvSpPr>
      <xdr:spPr>
        <a:xfrm>
          <a:off x="9231023" y="4088822"/>
          <a:ext cx="227735" cy="163657"/>
        </a:xfrm>
        <a:prstGeom prst="downArrow">
          <a:avLst/>
        </a:prstGeom>
        <a:solidFill>
          <a:srgbClr val="0000CC"/>
        </a:solid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551518</xdr:colOff>
      <xdr:row>8</xdr:row>
      <xdr:rowOff>121227</xdr:rowOff>
    </xdr:from>
    <xdr:to>
      <xdr:col>9</xdr:col>
      <xdr:colOff>218114</xdr:colOff>
      <xdr:row>13</xdr:row>
      <xdr:rowOff>233689</xdr:rowOff>
    </xdr:to>
    <xdr:grpSp>
      <xdr:nvGrpSpPr>
        <xdr:cNvPr id="13" name="グループ化 12">
          <a:extLst>
            <a:ext uri="{FF2B5EF4-FFF2-40B4-BE49-F238E27FC236}">
              <a16:creationId xmlns:a16="http://schemas.microsoft.com/office/drawing/2014/main" id="{B75418AF-9D1C-4FF5-8742-E023AE557D63}"/>
            </a:ext>
          </a:extLst>
        </xdr:cNvPr>
        <xdr:cNvGrpSpPr/>
      </xdr:nvGrpSpPr>
      <xdr:grpSpPr>
        <a:xfrm>
          <a:off x="5837893" y="2769177"/>
          <a:ext cx="2552671" cy="1569787"/>
          <a:chOff x="-968976" y="1294186"/>
          <a:chExt cx="3876105" cy="1312931"/>
        </a:xfrm>
      </xdr:grpSpPr>
      <xdr:sp macro="" textlink="">
        <xdr:nvSpPr>
          <xdr:cNvPr id="14" name="テキスト ボックス 13">
            <a:extLst>
              <a:ext uri="{FF2B5EF4-FFF2-40B4-BE49-F238E27FC236}">
                <a16:creationId xmlns:a16="http://schemas.microsoft.com/office/drawing/2014/main" id="{C7BD8E57-8154-BFF6-9DB6-94EE1E04892A}"/>
              </a:ext>
            </a:extLst>
          </xdr:cNvPr>
          <xdr:cNvSpPr txBox="1"/>
        </xdr:nvSpPr>
        <xdr:spPr>
          <a:xfrm>
            <a:off x="1538993" y="1294186"/>
            <a:ext cx="1368136" cy="909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t>※</a:t>
            </a:r>
            <a:r>
              <a:rPr kumimoji="1" lang="ja-JP" altLang="en-US" sz="1200" b="1"/>
              <a:t>このシートの入力セルは</a:t>
            </a:r>
            <a:r>
              <a:rPr kumimoji="1" lang="ja-JP" altLang="en-US" sz="1200" b="1">
                <a:solidFill>
                  <a:srgbClr val="FF0000"/>
                </a:solidFill>
              </a:rPr>
              <a:t>２ヵ所</a:t>
            </a:r>
            <a:r>
              <a:rPr kumimoji="1" lang="ja-JP" altLang="en-US" sz="1200" b="1"/>
              <a:t>です！</a:t>
            </a:r>
          </a:p>
        </xdr:txBody>
      </xdr:sp>
      <xdr:sp macro="" textlink="">
        <xdr:nvSpPr>
          <xdr:cNvPr id="15" name="矢印: 左 14">
            <a:extLst>
              <a:ext uri="{FF2B5EF4-FFF2-40B4-BE49-F238E27FC236}">
                <a16:creationId xmlns:a16="http://schemas.microsoft.com/office/drawing/2014/main" id="{39812BE9-DEDF-42E1-FFAF-3D7D5BEF7DFE}"/>
              </a:ext>
            </a:extLst>
          </xdr:cNvPr>
          <xdr:cNvSpPr/>
        </xdr:nvSpPr>
        <xdr:spPr>
          <a:xfrm rot="19264049">
            <a:off x="-968976" y="2406028"/>
            <a:ext cx="2794633" cy="20108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xdr:col>
      <xdr:colOff>675409</xdr:colOff>
      <xdr:row>12</xdr:row>
      <xdr:rowOff>17319</xdr:rowOff>
    </xdr:from>
    <xdr:to>
      <xdr:col>7</xdr:col>
      <xdr:colOff>367370</xdr:colOff>
      <xdr:row>13</xdr:row>
      <xdr:rowOff>319412</xdr:rowOff>
    </xdr:to>
    <xdr:grpSp>
      <xdr:nvGrpSpPr>
        <xdr:cNvPr id="17" name="グループ化 16">
          <a:extLst>
            <a:ext uri="{FF2B5EF4-FFF2-40B4-BE49-F238E27FC236}">
              <a16:creationId xmlns:a16="http://schemas.microsoft.com/office/drawing/2014/main" id="{E5072089-9E55-457F-A0B4-A350B0F5D637}"/>
            </a:ext>
          </a:extLst>
        </xdr:cNvPr>
        <xdr:cNvGrpSpPr/>
      </xdr:nvGrpSpPr>
      <xdr:grpSpPr>
        <a:xfrm>
          <a:off x="4971184" y="3751119"/>
          <a:ext cx="1568386" cy="673568"/>
          <a:chOff x="14980228" y="5221432"/>
          <a:chExt cx="1220932" cy="450435"/>
        </a:xfrm>
      </xdr:grpSpPr>
      <xdr:sp macro="" textlink="">
        <xdr:nvSpPr>
          <xdr:cNvPr id="18" name="正方形/長方形 17">
            <a:extLst>
              <a:ext uri="{FF2B5EF4-FFF2-40B4-BE49-F238E27FC236}">
                <a16:creationId xmlns:a16="http://schemas.microsoft.com/office/drawing/2014/main" id="{E726D01F-6FD1-7686-83BF-ADDB7A9DBAB2}"/>
              </a:ext>
            </a:extLst>
          </xdr:cNvPr>
          <xdr:cNvSpPr/>
        </xdr:nvSpPr>
        <xdr:spPr>
          <a:xfrm>
            <a:off x="14980228" y="5221432"/>
            <a:ext cx="1220932" cy="320386"/>
          </a:xfrm>
          <a:prstGeom prst="rect">
            <a:avLst/>
          </a:prstGeom>
          <a:ln>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t>手当等支給メニューの契約時間を手入力！</a:t>
            </a:r>
          </a:p>
        </xdr:txBody>
      </xdr:sp>
      <xdr:sp macro="" textlink="">
        <xdr:nvSpPr>
          <xdr:cNvPr id="19" name="矢印: 左 18">
            <a:extLst>
              <a:ext uri="{FF2B5EF4-FFF2-40B4-BE49-F238E27FC236}">
                <a16:creationId xmlns:a16="http://schemas.microsoft.com/office/drawing/2014/main" id="{3C3D6AF9-D725-8D45-4AAB-309FFCAE5099}"/>
              </a:ext>
            </a:extLst>
          </xdr:cNvPr>
          <xdr:cNvSpPr/>
        </xdr:nvSpPr>
        <xdr:spPr>
          <a:xfrm rot="16200000">
            <a:off x="15566342" y="5491081"/>
            <a:ext cx="118403" cy="243170"/>
          </a:xfrm>
          <a:prstGeom prst="leftArrow">
            <a:avLst/>
          </a:prstGeom>
          <a:solidFill>
            <a:srgbClr val="0000FF"/>
          </a:solid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xdr:col>
      <xdr:colOff>952501</xdr:colOff>
      <xdr:row>13</xdr:row>
      <xdr:rowOff>536863</xdr:rowOff>
    </xdr:from>
    <xdr:to>
      <xdr:col>7</xdr:col>
      <xdr:colOff>86591</xdr:colOff>
      <xdr:row>15</xdr:row>
      <xdr:rowOff>95250</xdr:rowOff>
    </xdr:to>
    <xdr:sp macro="" textlink="">
      <xdr:nvSpPr>
        <xdr:cNvPr id="20" name="楕円 19">
          <a:extLst>
            <a:ext uri="{FF2B5EF4-FFF2-40B4-BE49-F238E27FC236}">
              <a16:creationId xmlns:a16="http://schemas.microsoft.com/office/drawing/2014/main" id="{27F5DD86-DB1F-4883-9BEC-5FBCB46C01AD}"/>
            </a:ext>
          </a:extLst>
        </xdr:cNvPr>
        <xdr:cNvSpPr/>
      </xdr:nvSpPr>
      <xdr:spPr>
        <a:xfrm>
          <a:off x="5248276" y="4642138"/>
          <a:ext cx="1010515" cy="510887"/>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155864</xdr:colOff>
      <xdr:row>4</xdr:row>
      <xdr:rowOff>69274</xdr:rowOff>
    </xdr:from>
    <xdr:to>
      <xdr:col>7</xdr:col>
      <xdr:colOff>1013114</xdr:colOff>
      <xdr:row>6</xdr:row>
      <xdr:rowOff>43296</xdr:rowOff>
    </xdr:to>
    <xdr:sp macro="" textlink="">
      <xdr:nvSpPr>
        <xdr:cNvPr id="22" name="四角形: 角を丸くする 21">
          <a:extLst>
            <a:ext uri="{FF2B5EF4-FFF2-40B4-BE49-F238E27FC236}">
              <a16:creationId xmlns:a16="http://schemas.microsoft.com/office/drawing/2014/main" id="{53B3D8CB-5680-49F2-927F-C05158131B61}"/>
            </a:ext>
          </a:extLst>
        </xdr:cNvPr>
        <xdr:cNvSpPr/>
      </xdr:nvSpPr>
      <xdr:spPr>
        <a:xfrm>
          <a:off x="4459432" y="1446069"/>
          <a:ext cx="2727614" cy="718704"/>
        </a:xfrm>
        <a:prstGeom prst="roundRect">
          <a:avLst/>
        </a:prstGeom>
        <a:solidFill>
          <a:srgbClr val="00FF99"/>
        </a:solidFill>
        <a:ln>
          <a:solidFill>
            <a:srgbClr val="006C3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a:solidFill>
                <a:schemeClr val="tx1"/>
              </a:solidFill>
            </a:rPr>
            <a:t>併用メニュー（２年目）</a:t>
          </a:r>
          <a:endParaRPr kumimoji="1" lang="en-US" altLang="ja-JP" sz="1800">
            <a:solidFill>
              <a:schemeClr val="tx1"/>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a:solidFill>
                <a:schemeClr val="tx1"/>
              </a:solidFill>
              <a:effectLst/>
              <a:latin typeface="+mn-lt"/>
              <a:ea typeface="+mn-ea"/>
              <a:cs typeface="+mn-cs"/>
            </a:rPr>
            <a:t>（</a:t>
          </a:r>
          <a:r>
            <a:rPr kumimoji="1" lang="ja-JP" altLang="ja-JP" sz="1400" b="1">
              <a:solidFill>
                <a:schemeClr val="tx1"/>
              </a:solidFill>
              <a:effectLst/>
              <a:latin typeface="+mn-lt"/>
              <a:ea typeface="+mn-ea"/>
              <a:cs typeface="+mn-cs"/>
            </a:rPr>
            <a:t>１年目は手当等支給メニュー</a:t>
          </a:r>
          <a:r>
            <a:rPr kumimoji="1" lang="ja-JP" altLang="en-US" sz="1400" b="1">
              <a:solidFill>
                <a:schemeClr val="tx1"/>
              </a:solidFill>
              <a:effectLst/>
              <a:latin typeface="+mn-lt"/>
              <a:ea typeface="+mn-ea"/>
              <a:cs typeface="+mn-cs"/>
            </a:rPr>
            <a:t>）</a:t>
          </a:r>
          <a:endParaRPr lang="ja-JP" altLang="ja-JP" sz="1400" b="1">
            <a:solidFill>
              <a:schemeClr val="tx1"/>
            </a:solidFill>
            <a:effectLst/>
          </a:endParaRPr>
        </a:p>
        <a:p>
          <a:pPr algn="ctr"/>
          <a:endParaRPr kumimoji="1" lang="ja-JP" altLang="en-US" sz="1800">
            <a:solidFill>
              <a:schemeClr val="tx1"/>
            </a:solidFill>
          </a:endParaRPr>
        </a:p>
      </xdr:txBody>
    </xdr:sp>
    <xdr:clientData/>
  </xdr:twoCellAnchor>
  <xdr:twoCellAnchor>
    <xdr:from>
      <xdr:col>1</xdr:col>
      <xdr:colOff>0</xdr:colOff>
      <xdr:row>0</xdr:row>
      <xdr:rowOff>60613</xdr:rowOff>
    </xdr:from>
    <xdr:to>
      <xdr:col>2</xdr:col>
      <xdr:colOff>1124815</xdr:colOff>
      <xdr:row>1</xdr:row>
      <xdr:rowOff>154132</xdr:rowOff>
    </xdr:to>
    <xdr:sp macro="" textlink="">
      <xdr:nvSpPr>
        <xdr:cNvPr id="21" name="矢印: 五方向 20">
          <a:hlinkClick xmlns:r="http://schemas.openxmlformats.org/officeDocument/2006/relationships" r:id="rId2"/>
          <a:extLst>
            <a:ext uri="{FF2B5EF4-FFF2-40B4-BE49-F238E27FC236}">
              <a16:creationId xmlns:a16="http://schemas.microsoft.com/office/drawing/2014/main" id="{3DA201E1-7231-489D-9F70-B9C9D0828001}"/>
            </a:ext>
          </a:extLst>
        </xdr:cNvPr>
        <xdr:cNvSpPr/>
      </xdr:nvSpPr>
      <xdr:spPr>
        <a:xfrm flipH="1">
          <a:off x="458932" y="60613"/>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10</xdr:col>
      <xdr:colOff>121226</xdr:colOff>
      <xdr:row>1</xdr:row>
      <xdr:rowOff>0</xdr:rowOff>
    </xdr:from>
    <xdr:to>
      <xdr:col>15</xdr:col>
      <xdr:colOff>60613</xdr:colOff>
      <xdr:row>2</xdr:row>
      <xdr:rowOff>103909</xdr:rowOff>
    </xdr:to>
    <xdr:sp macro="" textlink="">
      <xdr:nvSpPr>
        <xdr:cNvPr id="6" name="四角形: 角を丸くする 5">
          <a:extLst>
            <a:ext uri="{FF2B5EF4-FFF2-40B4-BE49-F238E27FC236}">
              <a16:creationId xmlns:a16="http://schemas.microsoft.com/office/drawing/2014/main" id="{E4D8AD3A-BB06-48AC-BE16-824D13379DA5}"/>
            </a:ext>
          </a:extLst>
        </xdr:cNvPr>
        <xdr:cNvSpPr/>
      </xdr:nvSpPr>
      <xdr:spPr>
        <a:xfrm>
          <a:off x="9421090" y="190500"/>
          <a:ext cx="5308023" cy="588818"/>
        </a:xfrm>
        <a:prstGeom prst="roundRect">
          <a:avLst/>
        </a:prstGeom>
        <a:solidFill>
          <a:srgbClr val="3333FF"/>
        </a:solidFill>
        <a:ln>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このシートは、社会保険加入者</a:t>
          </a:r>
          <a:r>
            <a:rPr kumimoji="1" lang="ja-JP" altLang="en-US" sz="1400">
              <a:solidFill>
                <a:srgbClr val="99FFCC"/>
              </a:solidFill>
            </a:rPr>
            <a:t>１０１人以上</a:t>
          </a:r>
          <a:r>
            <a:rPr kumimoji="1" lang="ja-JP" altLang="en-US" sz="1400"/>
            <a:t>の企業が対象です！</a:t>
          </a:r>
          <a:endParaRPr kumimoji="1" lang="en-US" altLang="ja-JP" sz="1400"/>
        </a:p>
        <a:p>
          <a:pPr algn="ctr"/>
          <a:r>
            <a:rPr kumimoji="1" lang="ja-JP" altLang="ja-JP" sz="1100" b="1" u="sng">
              <a:solidFill>
                <a:schemeClr val="lt1"/>
              </a:solidFill>
              <a:effectLst/>
              <a:latin typeface="+mn-lt"/>
              <a:ea typeface="+mn-ea"/>
              <a:cs typeface="+mn-cs"/>
            </a:rPr>
            <a:t>２０２４．１０．１からは５１人以上に適用拡大！</a:t>
          </a:r>
          <a:endParaRPr kumimoji="1" lang="ja-JP" altLang="en-US" sz="1600"/>
        </a:p>
      </xdr:txBody>
    </xdr:sp>
    <xdr:clientData/>
  </xdr:twoCellAnchor>
  <xdr:twoCellAnchor>
    <xdr:from>
      <xdr:col>2</xdr:col>
      <xdr:colOff>1342158</xdr:colOff>
      <xdr:row>2</xdr:row>
      <xdr:rowOff>178956</xdr:rowOff>
    </xdr:from>
    <xdr:to>
      <xdr:col>4</xdr:col>
      <xdr:colOff>43295</xdr:colOff>
      <xdr:row>4</xdr:row>
      <xdr:rowOff>75768</xdr:rowOff>
    </xdr:to>
    <xdr:sp macro="" textlink="">
      <xdr:nvSpPr>
        <xdr:cNvPr id="10" name="楕円 9">
          <a:extLst>
            <a:ext uri="{FF2B5EF4-FFF2-40B4-BE49-F238E27FC236}">
              <a16:creationId xmlns:a16="http://schemas.microsoft.com/office/drawing/2014/main" id="{2E41229B-825D-4410-A71E-E3B3C15A9409}"/>
            </a:ext>
          </a:extLst>
        </xdr:cNvPr>
        <xdr:cNvSpPr/>
      </xdr:nvSpPr>
      <xdr:spPr>
        <a:xfrm>
          <a:off x="2000250" y="817131"/>
          <a:ext cx="1386320" cy="458787"/>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xdr:colOff>
      <xdr:row>2</xdr:row>
      <xdr:rowOff>228599</xdr:rowOff>
    </xdr:from>
    <xdr:to>
      <xdr:col>6</xdr:col>
      <xdr:colOff>257176</xdr:colOff>
      <xdr:row>4</xdr:row>
      <xdr:rowOff>28574</xdr:rowOff>
    </xdr:to>
    <xdr:grpSp>
      <xdr:nvGrpSpPr>
        <xdr:cNvPr id="11" name="グループ化 10">
          <a:extLst>
            <a:ext uri="{FF2B5EF4-FFF2-40B4-BE49-F238E27FC236}">
              <a16:creationId xmlns:a16="http://schemas.microsoft.com/office/drawing/2014/main" id="{289A624B-FABA-4E3F-9233-3DE53D02798E}"/>
            </a:ext>
          </a:extLst>
        </xdr:cNvPr>
        <xdr:cNvGrpSpPr/>
      </xdr:nvGrpSpPr>
      <xdr:grpSpPr>
        <a:xfrm>
          <a:off x="3457577" y="904874"/>
          <a:ext cx="2085974" cy="495300"/>
          <a:chOff x="995774" y="1276074"/>
          <a:chExt cx="1481876" cy="470944"/>
        </a:xfrm>
      </xdr:grpSpPr>
      <xdr:sp macro="" textlink="">
        <xdr:nvSpPr>
          <xdr:cNvPr id="16" name="矢印: 左 15">
            <a:extLst>
              <a:ext uri="{FF2B5EF4-FFF2-40B4-BE49-F238E27FC236}">
                <a16:creationId xmlns:a16="http://schemas.microsoft.com/office/drawing/2014/main" id="{E8CFF874-A2D1-CC90-470B-881906FE2484}"/>
              </a:ext>
            </a:extLst>
          </xdr:cNvPr>
          <xdr:cNvSpPr/>
        </xdr:nvSpPr>
        <xdr:spPr>
          <a:xfrm>
            <a:off x="995774" y="1393811"/>
            <a:ext cx="365394" cy="1923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a:extLst>
              <a:ext uri="{FF2B5EF4-FFF2-40B4-BE49-F238E27FC236}">
                <a16:creationId xmlns:a16="http://schemas.microsoft.com/office/drawing/2014/main" id="{A5938466-D3E5-6506-A2D9-497A35A7AC29}"/>
              </a:ext>
            </a:extLst>
          </xdr:cNvPr>
          <xdr:cNvSpPr txBox="1"/>
        </xdr:nvSpPr>
        <xdr:spPr>
          <a:xfrm>
            <a:off x="1329229" y="1276074"/>
            <a:ext cx="1148421" cy="4709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t>※</a:t>
            </a:r>
            <a:r>
              <a:rPr kumimoji="1" lang="ja-JP" altLang="en-US" sz="1200" b="1"/>
              <a:t>このシートの入力セルは</a:t>
            </a:r>
            <a:r>
              <a:rPr kumimoji="1" lang="ja-JP" altLang="en-US" sz="1200" b="1">
                <a:solidFill>
                  <a:srgbClr val="FF0000"/>
                </a:solidFill>
              </a:rPr>
              <a:t>２ヵ所</a:t>
            </a:r>
            <a:r>
              <a:rPr kumimoji="1" lang="ja-JP" altLang="en-US" sz="1200" b="1"/>
              <a:t>です！</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285750</xdr:colOff>
      <xdr:row>14</xdr:row>
      <xdr:rowOff>276225</xdr:rowOff>
    </xdr:from>
    <xdr:to>
      <xdr:col>15</xdr:col>
      <xdr:colOff>1977733</xdr:colOff>
      <xdr:row>16</xdr:row>
      <xdr:rowOff>146338</xdr:rowOff>
    </xdr:to>
    <xdr:grpSp>
      <xdr:nvGrpSpPr>
        <xdr:cNvPr id="9" name="グループ化 8">
          <a:extLst>
            <a:ext uri="{FF2B5EF4-FFF2-40B4-BE49-F238E27FC236}">
              <a16:creationId xmlns:a16="http://schemas.microsoft.com/office/drawing/2014/main" id="{AF7C5067-B6E5-4C80-A547-D6FA38865F38}"/>
            </a:ext>
          </a:extLst>
        </xdr:cNvPr>
        <xdr:cNvGrpSpPr/>
      </xdr:nvGrpSpPr>
      <xdr:grpSpPr>
        <a:xfrm>
          <a:off x="15516225" y="4762500"/>
          <a:ext cx="1691983" cy="479713"/>
          <a:chOff x="14841682" y="5221430"/>
          <a:chExt cx="1359475" cy="320386"/>
        </a:xfrm>
      </xdr:grpSpPr>
      <xdr:sp macro="" textlink="">
        <xdr:nvSpPr>
          <xdr:cNvPr id="12" name="正方形/長方形 11">
            <a:extLst>
              <a:ext uri="{FF2B5EF4-FFF2-40B4-BE49-F238E27FC236}">
                <a16:creationId xmlns:a16="http://schemas.microsoft.com/office/drawing/2014/main" id="{81A84678-D597-75DE-AA01-D446D5C19945}"/>
              </a:ext>
            </a:extLst>
          </xdr:cNvPr>
          <xdr:cNvSpPr/>
        </xdr:nvSpPr>
        <xdr:spPr>
          <a:xfrm>
            <a:off x="14980225" y="5221430"/>
            <a:ext cx="1220932" cy="320386"/>
          </a:xfrm>
          <a:prstGeom prst="rect">
            <a:avLst/>
          </a:prstGeom>
          <a:solidFill>
            <a:sysClr val="window" lastClr="FFFFFF"/>
          </a:solidFill>
          <a:ln w="25400" cap="flat" cmpd="sng" algn="ctr">
            <a:solidFill>
              <a:srgbClr val="0000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新契約でご提案する給与の詳細です！</a:t>
            </a:r>
          </a:p>
        </xdr:txBody>
      </xdr:sp>
      <xdr:sp macro="" textlink="">
        <xdr:nvSpPr>
          <xdr:cNvPr id="13" name="矢印: 左 12">
            <a:extLst>
              <a:ext uri="{FF2B5EF4-FFF2-40B4-BE49-F238E27FC236}">
                <a16:creationId xmlns:a16="http://schemas.microsoft.com/office/drawing/2014/main" id="{B06FA86B-897F-95D5-9E4B-3EF1E081DF10}"/>
              </a:ext>
            </a:extLst>
          </xdr:cNvPr>
          <xdr:cNvSpPr/>
        </xdr:nvSpPr>
        <xdr:spPr>
          <a:xfrm>
            <a:off x="14841682" y="5273386"/>
            <a:ext cx="138545" cy="207818"/>
          </a:xfrm>
          <a:prstGeom prst="leftArrow">
            <a:avLst/>
          </a:prstGeom>
          <a:solidFill>
            <a:srgbClr val="0000FF"/>
          </a:solidFill>
          <a:ln w="25400" cap="flat" cmpd="sng" algn="ctr">
            <a:solidFill>
              <a:srgbClr val="0000FF"/>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grpSp>
    <xdr:clientData/>
  </xdr:twoCellAnchor>
  <xdr:twoCellAnchor>
    <xdr:from>
      <xdr:col>8</xdr:col>
      <xdr:colOff>195262</xdr:colOff>
      <xdr:row>0</xdr:row>
      <xdr:rowOff>80963</xdr:rowOff>
    </xdr:from>
    <xdr:to>
      <xdr:col>12</xdr:col>
      <xdr:colOff>333374</xdr:colOff>
      <xdr:row>1</xdr:row>
      <xdr:rowOff>128588</xdr:rowOff>
    </xdr:to>
    <xdr:sp macro="" textlink="">
      <xdr:nvSpPr>
        <xdr:cNvPr id="15" name="四角形: 角を丸くする 14">
          <a:extLst>
            <a:ext uri="{FF2B5EF4-FFF2-40B4-BE49-F238E27FC236}">
              <a16:creationId xmlns:a16="http://schemas.microsoft.com/office/drawing/2014/main" id="{38F7FB73-8FD9-4685-8A1F-293CE22C50F9}"/>
            </a:ext>
          </a:extLst>
        </xdr:cNvPr>
        <xdr:cNvSpPr/>
      </xdr:nvSpPr>
      <xdr:spPr>
        <a:xfrm>
          <a:off x="7339012" y="80963"/>
          <a:ext cx="5138737" cy="440531"/>
        </a:xfrm>
        <a:prstGeom prst="roundRect">
          <a:avLst/>
        </a:prstGeom>
        <a:solidFill>
          <a:srgbClr val="00FF99"/>
        </a:solidFill>
        <a:ln>
          <a:solidFill>
            <a:srgbClr val="006C3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solidFill>
                <a:schemeClr val="tx1"/>
              </a:solidFill>
            </a:rPr>
            <a:t>併用メニュー（２年目）</a:t>
          </a:r>
          <a:r>
            <a:rPr kumimoji="1" lang="ja-JP" altLang="en-US" sz="1600" b="1">
              <a:solidFill>
                <a:schemeClr val="tx1"/>
              </a:solidFill>
              <a:effectLst/>
              <a:latin typeface="+mn-lt"/>
              <a:ea typeface="+mn-ea"/>
              <a:cs typeface="+mn-cs"/>
            </a:rPr>
            <a:t>（</a:t>
          </a:r>
          <a:r>
            <a:rPr kumimoji="1" lang="ja-JP" altLang="ja-JP" sz="1600" b="1">
              <a:solidFill>
                <a:schemeClr val="tx1"/>
              </a:solidFill>
              <a:effectLst/>
              <a:latin typeface="+mn-lt"/>
              <a:ea typeface="+mn-ea"/>
              <a:cs typeface="+mn-cs"/>
            </a:rPr>
            <a:t>１年目は手当等支給メニュー</a:t>
          </a:r>
          <a:r>
            <a:rPr kumimoji="1" lang="ja-JP" altLang="en-US" sz="1600" b="1">
              <a:solidFill>
                <a:schemeClr val="tx1"/>
              </a:solidFill>
              <a:effectLst/>
              <a:latin typeface="+mn-lt"/>
              <a:ea typeface="+mn-ea"/>
              <a:cs typeface="+mn-cs"/>
            </a:rPr>
            <a:t>）</a:t>
          </a:r>
          <a:endParaRPr kumimoji="1" lang="ja-JP" altLang="en-US" sz="1600" b="1">
            <a:solidFill>
              <a:schemeClr val="tx1"/>
            </a:solidFill>
          </a:endParaRPr>
        </a:p>
      </xdr:txBody>
    </xdr:sp>
    <xdr:clientData/>
  </xdr:twoCellAnchor>
  <xdr:twoCellAnchor>
    <xdr:from>
      <xdr:col>2</xdr:col>
      <xdr:colOff>1257300</xdr:colOff>
      <xdr:row>0</xdr:row>
      <xdr:rowOff>85725</xdr:rowOff>
    </xdr:from>
    <xdr:to>
      <xdr:col>7</xdr:col>
      <xdr:colOff>1064634</xdr:colOff>
      <xdr:row>1</xdr:row>
      <xdr:rowOff>101312</xdr:rowOff>
    </xdr:to>
    <xdr:sp macro="" textlink="">
      <xdr:nvSpPr>
        <xdr:cNvPr id="4" name="正方形/長方形 3">
          <a:extLst>
            <a:ext uri="{FF2B5EF4-FFF2-40B4-BE49-F238E27FC236}">
              <a16:creationId xmlns:a16="http://schemas.microsoft.com/office/drawing/2014/main" id="{1D663046-D370-4FA1-A111-B61E4CCC8549}"/>
            </a:ext>
          </a:extLst>
        </xdr:cNvPr>
        <xdr:cNvSpPr/>
      </xdr:nvSpPr>
      <xdr:spPr>
        <a:xfrm>
          <a:off x="1914525" y="85725"/>
          <a:ext cx="5236584" cy="406112"/>
        </a:xfrm>
        <a:prstGeom prst="rect">
          <a:avLst/>
        </a:prstGeom>
        <a:solidFill>
          <a:srgbClr val="0000FF"/>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600" u="sng">
              <a:solidFill>
                <a:schemeClr val="bg1"/>
              </a:solidFill>
            </a:rPr>
            <a:t>キャリアアップ助成金（社会保険適用時処遇改善コース）</a:t>
          </a:r>
          <a:endParaRPr kumimoji="1" lang="en-US" altLang="ja-JP" sz="1600" u="sng">
            <a:solidFill>
              <a:schemeClr val="bg1"/>
            </a:solidFill>
          </a:endParaRPr>
        </a:p>
      </xdr:txBody>
    </xdr:sp>
    <xdr:clientData/>
  </xdr:twoCellAnchor>
  <xdr:twoCellAnchor>
    <xdr:from>
      <xdr:col>12</xdr:col>
      <xdr:colOff>416934</xdr:colOff>
      <xdr:row>0</xdr:row>
      <xdr:rowOff>103042</xdr:rowOff>
    </xdr:from>
    <xdr:to>
      <xdr:col>15</xdr:col>
      <xdr:colOff>1502784</xdr:colOff>
      <xdr:row>1</xdr:row>
      <xdr:rowOff>83992</xdr:rowOff>
    </xdr:to>
    <xdr:sp macro="" textlink="">
      <xdr:nvSpPr>
        <xdr:cNvPr id="11" name="四角形: 角を丸くする 10">
          <a:extLst>
            <a:ext uri="{FF2B5EF4-FFF2-40B4-BE49-F238E27FC236}">
              <a16:creationId xmlns:a16="http://schemas.microsoft.com/office/drawing/2014/main" id="{50FD64CF-8B50-4E9C-83F8-2960A0B64905}"/>
            </a:ext>
          </a:extLst>
        </xdr:cNvPr>
        <xdr:cNvSpPr/>
      </xdr:nvSpPr>
      <xdr:spPr>
        <a:xfrm>
          <a:off x="12580359" y="103042"/>
          <a:ext cx="4152900" cy="371475"/>
        </a:xfrm>
        <a:prstGeom prst="roundRect">
          <a:avLst/>
        </a:prstGeom>
        <a:solidFill>
          <a:srgbClr val="3333FF"/>
        </a:solidFill>
        <a:ln w="25400" cap="flat" cmpd="sng" algn="ctr">
          <a:solidFill>
            <a:srgbClr val="0066FF"/>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社会保険加入者</a:t>
          </a:r>
          <a:r>
            <a:rPr kumimoji="1" lang="ja-JP" altLang="en-US" sz="1600" b="0" i="0" u="none" strike="noStrike" kern="0" cap="none" spc="0" normalizeH="0" baseline="0" noProof="0">
              <a:ln>
                <a:noFill/>
              </a:ln>
              <a:solidFill>
                <a:srgbClr val="99FFCC"/>
              </a:solidFill>
              <a:effectLst/>
              <a:uLnTx/>
              <a:uFillTx/>
              <a:latin typeface="Calibri"/>
              <a:ea typeface="ＭＳ Ｐゴシック" panose="020B0600070205080204" pitchFamily="50" charset="-128"/>
              <a:cs typeface="+mn-cs"/>
            </a:rPr>
            <a:t>１０１人以上</a:t>
          </a:r>
          <a:r>
            <a:rPr kumimoji="1" lang="ja-JP" altLang="en-US" sz="16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の企業が対象！</a:t>
          </a:r>
        </a:p>
      </xdr:txBody>
    </xdr:sp>
    <xdr:clientData/>
  </xdr:twoCellAnchor>
  <xdr:twoCellAnchor>
    <xdr:from>
      <xdr:col>1</xdr:col>
      <xdr:colOff>0</xdr:colOff>
      <xdr:row>0</xdr:row>
      <xdr:rowOff>180975</xdr:rowOff>
    </xdr:from>
    <xdr:to>
      <xdr:col>2</xdr:col>
      <xdr:colOff>1126547</xdr:colOff>
      <xdr:row>1</xdr:row>
      <xdr:rowOff>74469</xdr:rowOff>
    </xdr:to>
    <xdr:sp macro="" textlink="">
      <xdr:nvSpPr>
        <xdr:cNvPr id="3" name="矢印: 五方向 2">
          <a:hlinkClick xmlns:r="http://schemas.openxmlformats.org/officeDocument/2006/relationships" r:id="rId1"/>
          <a:extLst>
            <a:ext uri="{FF2B5EF4-FFF2-40B4-BE49-F238E27FC236}">
              <a16:creationId xmlns:a16="http://schemas.microsoft.com/office/drawing/2014/main" id="{460FEB6B-9D04-479E-B8BC-B6E3152167B4}"/>
            </a:ext>
          </a:extLst>
        </xdr:cNvPr>
        <xdr:cNvSpPr/>
      </xdr:nvSpPr>
      <xdr:spPr>
        <a:xfrm flipH="1">
          <a:off x="200025" y="180975"/>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16</xdr:col>
      <xdr:colOff>76200</xdr:colOff>
      <xdr:row>19</xdr:row>
      <xdr:rowOff>114300</xdr:rowOff>
    </xdr:from>
    <xdr:to>
      <xdr:col>17</xdr:col>
      <xdr:colOff>672582</xdr:colOff>
      <xdr:row>22</xdr:row>
      <xdr:rowOff>200013</xdr:rowOff>
    </xdr:to>
    <xdr:grpSp>
      <xdr:nvGrpSpPr>
        <xdr:cNvPr id="2" name="グループ化 1">
          <a:extLst>
            <a:ext uri="{FF2B5EF4-FFF2-40B4-BE49-F238E27FC236}">
              <a16:creationId xmlns:a16="http://schemas.microsoft.com/office/drawing/2014/main" id="{C9B12375-C747-4946-85FD-2446CEDE7FB0}"/>
            </a:ext>
          </a:extLst>
        </xdr:cNvPr>
        <xdr:cNvGrpSpPr/>
      </xdr:nvGrpSpPr>
      <xdr:grpSpPr>
        <a:xfrm>
          <a:off x="17649825" y="6124575"/>
          <a:ext cx="1282182" cy="1000113"/>
          <a:chOff x="14752357" y="5094203"/>
          <a:chExt cx="1002005" cy="667946"/>
        </a:xfrm>
      </xdr:grpSpPr>
      <xdr:sp macro="" textlink="">
        <xdr:nvSpPr>
          <xdr:cNvPr id="5" name="正方形/長方形 4">
            <a:extLst>
              <a:ext uri="{FF2B5EF4-FFF2-40B4-BE49-F238E27FC236}">
                <a16:creationId xmlns:a16="http://schemas.microsoft.com/office/drawing/2014/main" id="{26386CB8-51F5-8684-10C1-BBFB473644E4}"/>
              </a:ext>
            </a:extLst>
          </xdr:cNvPr>
          <xdr:cNvSpPr/>
        </xdr:nvSpPr>
        <xdr:spPr>
          <a:xfrm>
            <a:off x="14890905" y="5094203"/>
            <a:ext cx="863457" cy="667946"/>
          </a:xfrm>
          <a:prstGeom prst="rect">
            <a:avLst/>
          </a:prstGeom>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指標は、個別に移動して提案して下さい！</a:t>
            </a:r>
          </a:p>
        </xdr:txBody>
      </xdr:sp>
      <xdr:sp macro="" textlink="">
        <xdr:nvSpPr>
          <xdr:cNvPr id="10" name="矢印: 左 9">
            <a:extLst>
              <a:ext uri="{FF2B5EF4-FFF2-40B4-BE49-F238E27FC236}">
                <a16:creationId xmlns:a16="http://schemas.microsoft.com/office/drawing/2014/main" id="{2B6EE6EF-9423-BD95-4B81-8DAE98708F14}"/>
              </a:ext>
            </a:extLst>
          </xdr:cNvPr>
          <xdr:cNvSpPr/>
        </xdr:nvSpPr>
        <xdr:spPr>
          <a:xfrm>
            <a:off x="14752357" y="5324274"/>
            <a:ext cx="138545" cy="207817"/>
          </a:xfrm>
          <a:prstGeom prst="leftArrow">
            <a:avLst/>
          </a:prstGeom>
          <a:solidFill>
            <a:srgbClr val="FFFF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15</xdr:col>
      <xdr:colOff>247650</xdr:colOff>
      <xdr:row>8</xdr:row>
      <xdr:rowOff>800100</xdr:rowOff>
    </xdr:from>
    <xdr:to>
      <xdr:col>15</xdr:col>
      <xdr:colOff>1939633</xdr:colOff>
      <xdr:row>11</xdr:row>
      <xdr:rowOff>146338</xdr:rowOff>
    </xdr:to>
    <xdr:grpSp>
      <xdr:nvGrpSpPr>
        <xdr:cNvPr id="14" name="グループ化 13">
          <a:extLst>
            <a:ext uri="{FF2B5EF4-FFF2-40B4-BE49-F238E27FC236}">
              <a16:creationId xmlns:a16="http://schemas.microsoft.com/office/drawing/2014/main" id="{E1971EB2-4B19-4E5B-9965-D41856889888}"/>
            </a:ext>
          </a:extLst>
        </xdr:cNvPr>
        <xdr:cNvGrpSpPr/>
      </xdr:nvGrpSpPr>
      <xdr:grpSpPr>
        <a:xfrm>
          <a:off x="15478125" y="3238500"/>
          <a:ext cx="1691983" cy="479713"/>
          <a:chOff x="14841682" y="5221430"/>
          <a:chExt cx="1359475" cy="320386"/>
        </a:xfrm>
      </xdr:grpSpPr>
      <xdr:sp macro="" textlink="">
        <xdr:nvSpPr>
          <xdr:cNvPr id="16" name="正方形/長方形 15">
            <a:extLst>
              <a:ext uri="{FF2B5EF4-FFF2-40B4-BE49-F238E27FC236}">
                <a16:creationId xmlns:a16="http://schemas.microsoft.com/office/drawing/2014/main" id="{86C75209-142C-CFF4-B803-5C71AA7A7CA6}"/>
              </a:ext>
            </a:extLst>
          </xdr:cNvPr>
          <xdr:cNvSpPr/>
        </xdr:nvSpPr>
        <xdr:spPr>
          <a:xfrm>
            <a:off x="14980225" y="5221430"/>
            <a:ext cx="1220932" cy="320386"/>
          </a:xfrm>
          <a:prstGeom prst="rect">
            <a:avLst/>
          </a:prstGeom>
          <a:solidFill>
            <a:sysClr val="window" lastClr="FFFFFF"/>
          </a:solidFill>
          <a:ln w="25400" cap="flat" cmpd="sng" algn="ctr">
            <a:solidFill>
              <a:srgbClr val="0000FF"/>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新契約の給与の詳細です！</a:t>
            </a:r>
          </a:p>
        </xdr:txBody>
      </xdr:sp>
      <xdr:sp macro="" textlink="">
        <xdr:nvSpPr>
          <xdr:cNvPr id="17" name="矢印: 左 16">
            <a:extLst>
              <a:ext uri="{FF2B5EF4-FFF2-40B4-BE49-F238E27FC236}">
                <a16:creationId xmlns:a16="http://schemas.microsoft.com/office/drawing/2014/main" id="{FE1322A1-C2EB-7B8A-276E-4D7B60FE27AA}"/>
              </a:ext>
            </a:extLst>
          </xdr:cNvPr>
          <xdr:cNvSpPr/>
        </xdr:nvSpPr>
        <xdr:spPr>
          <a:xfrm>
            <a:off x="14841682" y="5273386"/>
            <a:ext cx="138545" cy="207818"/>
          </a:xfrm>
          <a:prstGeom prst="leftArrow">
            <a:avLst/>
          </a:prstGeom>
          <a:solidFill>
            <a:srgbClr val="0000FF"/>
          </a:solidFill>
          <a:ln w="25400" cap="flat" cmpd="sng" algn="ctr">
            <a:solidFill>
              <a:srgbClr val="0000FF"/>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1000125</xdr:colOff>
      <xdr:row>13</xdr:row>
      <xdr:rowOff>0</xdr:rowOff>
    </xdr:from>
    <xdr:to>
      <xdr:col>15</xdr:col>
      <xdr:colOff>254000</xdr:colOff>
      <xdr:row>13</xdr:row>
      <xdr:rowOff>142875</xdr:rowOff>
    </xdr:to>
    <xdr:sp macro="" textlink="">
      <xdr:nvSpPr>
        <xdr:cNvPr id="2" name="矢印: 左右 1">
          <a:extLst>
            <a:ext uri="{FF2B5EF4-FFF2-40B4-BE49-F238E27FC236}">
              <a16:creationId xmlns:a16="http://schemas.microsoft.com/office/drawing/2014/main" id="{B2AFD3AD-5A1C-4B57-8FAF-6CFE54C14B78}"/>
            </a:ext>
          </a:extLst>
        </xdr:cNvPr>
        <xdr:cNvSpPr/>
      </xdr:nvSpPr>
      <xdr:spPr>
        <a:xfrm>
          <a:off x="13877925" y="3933825"/>
          <a:ext cx="368300" cy="142875"/>
        </a:xfrm>
        <a:prstGeom prst="leftRightArrow">
          <a:avLst/>
        </a:prstGeom>
        <a:solidFill>
          <a:schemeClr val="accent4">
            <a:lumMod val="75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1058573</xdr:colOff>
      <xdr:row>12</xdr:row>
      <xdr:rowOff>355022</xdr:rowOff>
    </xdr:from>
    <xdr:to>
      <xdr:col>13</xdr:col>
      <xdr:colOff>162358</xdr:colOff>
      <xdr:row>13</xdr:row>
      <xdr:rowOff>147204</xdr:rowOff>
    </xdr:to>
    <xdr:sp macro="" textlink="">
      <xdr:nvSpPr>
        <xdr:cNvPr id="16" name="矢印: 下 15">
          <a:extLst>
            <a:ext uri="{FF2B5EF4-FFF2-40B4-BE49-F238E27FC236}">
              <a16:creationId xmlns:a16="http://schemas.microsoft.com/office/drawing/2014/main" id="{2C5969B7-9B30-4C29-BD80-1D46A3CEEEE4}"/>
            </a:ext>
          </a:extLst>
        </xdr:cNvPr>
        <xdr:cNvSpPr/>
      </xdr:nvSpPr>
      <xdr:spPr>
        <a:xfrm>
          <a:off x="11869448" y="3917372"/>
          <a:ext cx="227735" cy="163657"/>
        </a:xfrm>
        <a:prstGeom prst="downArrow">
          <a:avLst/>
        </a:prstGeom>
        <a:solidFill>
          <a:srgbClr val="0000CC"/>
        </a:solid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1000125</xdr:colOff>
      <xdr:row>13</xdr:row>
      <xdr:rowOff>0</xdr:rowOff>
    </xdr:from>
    <xdr:to>
      <xdr:col>19</xdr:col>
      <xdr:colOff>254000</xdr:colOff>
      <xdr:row>13</xdr:row>
      <xdr:rowOff>142875</xdr:rowOff>
    </xdr:to>
    <xdr:sp macro="" textlink="">
      <xdr:nvSpPr>
        <xdr:cNvPr id="29" name="矢印: 左右 28">
          <a:extLst>
            <a:ext uri="{FF2B5EF4-FFF2-40B4-BE49-F238E27FC236}">
              <a16:creationId xmlns:a16="http://schemas.microsoft.com/office/drawing/2014/main" id="{0652D8FE-519B-4664-991F-B42EFF7ADCB0}"/>
            </a:ext>
          </a:extLst>
        </xdr:cNvPr>
        <xdr:cNvSpPr/>
      </xdr:nvSpPr>
      <xdr:spPr>
        <a:xfrm>
          <a:off x="18335625" y="3933825"/>
          <a:ext cx="368300" cy="142875"/>
        </a:xfrm>
        <a:prstGeom prst="leftRightArrow">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692728</xdr:colOff>
      <xdr:row>3</xdr:row>
      <xdr:rowOff>69273</xdr:rowOff>
    </xdr:from>
    <xdr:to>
      <xdr:col>9</xdr:col>
      <xdr:colOff>34638</xdr:colOff>
      <xdr:row>4</xdr:row>
      <xdr:rowOff>229261</xdr:rowOff>
    </xdr:to>
    <xdr:sp macro="" textlink="">
      <xdr:nvSpPr>
        <xdr:cNvPr id="30" name="四角形: 角を丸くする 29">
          <a:extLst>
            <a:ext uri="{FF2B5EF4-FFF2-40B4-BE49-F238E27FC236}">
              <a16:creationId xmlns:a16="http://schemas.microsoft.com/office/drawing/2014/main" id="{5D5A2856-C9F1-431F-9699-8A1F7732BBBE}"/>
            </a:ext>
          </a:extLst>
        </xdr:cNvPr>
        <xdr:cNvSpPr/>
      </xdr:nvSpPr>
      <xdr:spPr>
        <a:xfrm>
          <a:off x="4035137" y="961159"/>
          <a:ext cx="3212524" cy="471716"/>
        </a:xfrm>
        <a:prstGeom prst="roundRect">
          <a:avLst/>
        </a:prstGeom>
        <a:solidFill>
          <a:srgbClr val="3333FF"/>
        </a:solidFill>
        <a:ln>
          <a:solidFill>
            <a:srgbClr val="00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t>このシートは、参照シートです！</a:t>
          </a:r>
        </a:p>
      </xdr:txBody>
    </xdr:sp>
    <xdr:clientData/>
  </xdr:twoCellAnchor>
  <xdr:twoCellAnchor>
    <xdr:from>
      <xdr:col>13</xdr:col>
      <xdr:colOff>251114</xdr:colOff>
      <xdr:row>1</xdr:row>
      <xdr:rowOff>8659</xdr:rowOff>
    </xdr:from>
    <xdr:to>
      <xdr:col>17</xdr:col>
      <xdr:colOff>450272</xdr:colOff>
      <xdr:row>2</xdr:row>
      <xdr:rowOff>95251</xdr:rowOff>
    </xdr:to>
    <xdr:grpSp>
      <xdr:nvGrpSpPr>
        <xdr:cNvPr id="3" name="グループ化 2">
          <a:extLst>
            <a:ext uri="{FF2B5EF4-FFF2-40B4-BE49-F238E27FC236}">
              <a16:creationId xmlns:a16="http://schemas.microsoft.com/office/drawing/2014/main" id="{457AD94C-6CD9-4428-B303-4E0C3D36A87C}"/>
            </a:ext>
          </a:extLst>
        </xdr:cNvPr>
        <xdr:cNvGrpSpPr/>
      </xdr:nvGrpSpPr>
      <xdr:grpSpPr>
        <a:xfrm>
          <a:off x="11473296" y="164523"/>
          <a:ext cx="4494067" cy="571501"/>
          <a:chOff x="10096501" y="1853046"/>
          <a:chExt cx="4502725" cy="571500"/>
        </a:xfrm>
      </xdr:grpSpPr>
      <xdr:sp macro="" textlink="">
        <xdr:nvSpPr>
          <xdr:cNvPr id="4" name="正方形/長方形 3">
            <a:extLst>
              <a:ext uri="{FF2B5EF4-FFF2-40B4-BE49-F238E27FC236}">
                <a16:creationId xmlns:a16="http://schemas.microsoft.com/office/drawing/2014/main" id="{B2B3C094-0230-C06D-2CB6-D5BE82AB70EE}"/>
              </a:ext>
            </a:extLst>
          </xdr:cNvPr>
          <xdr:cNvSpPr/>
        </xdr:nvSpPr>
        <xdr:spPr>
          <a:xfrm>
            <a:off x="10538113" y="1861705"/>
            <a:ext cx="4061113" cy="476250"/>
          </a:xfrm>
          <a:prstGeom prst="rect">
            <a:avLst/>
          </a:prstGeom>
          <a:solidFill>
            <a:srgbClr val="0000FF"/>
          </a:solid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a:solidFill>
                  <a:schemeClr val="lt1"/>
                </a:solidFill>
                <a:effectLst/>
                <a:latin typeface="+mn-lt"/>
                <a:ea typeface="+mn-ea"/>
                <a:cs typeface="+mn-cs"/>
              </a:rPr>
              <a:t>このシートの設計変更は制限させていただきます！</a:t>
            </a:r>
            <a:endParaRPr lang="ja-JP" altLang="ja-JP" sz="1400">
              <a:effectLst/>
            </a:endParaRPr>
          </a:p>
          <a:p>
            <a:pPr algn="l"/>
            <a:endParaRPr kumimoji="1" lang="ja-JP" altLang="en-US" sz="1400"/>
          </a:p>
        </xdr:txBody>
      </xdr:sp>
      <xdr:pic>
        <xdr:nvPicPr>
          <xdr:cNvPr id="5" name="図 4">
            <a:extLst>
              <a:ext uri="{FF2B5EF4-FFF2-40B4-BE49-F238E27FC236}">
                <a16:creationId xmlns:a16="http://schemas.microsoft.com/office/drawing/2014/main" id="{020C3829-401A-7684-362A-F6C7594169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96501" y="1853046"/>
            <a:ext cx="470671" cy="5715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1</xdr:row>
      <xdr:rowOff>0</xdr:rowOff>
    </xdr:from>
    <xdr:to>
      <xdr:col>2</xdr:col>
      <xdr:colOff>1124815</xdr:colOff>
      <xdr:row>1</xdr:row>
      <xdr:rowOff>284019</xdr:rowOff>
    </xdr:to>
    <xdr:sp macro="" textlink="">
      <xdr:nvSpPr>
        <xdr:cNvPr id="6" name="矢印: 五方向 5">
          <a:hlinkClick xmlns:r="http://schemas.openxmlformats.org/officeDocument/2006/relationships" r:id="rId2"/>
          <a:extLst>
            <a:ext uri="{FF2B5EF4-FFF2-40B4-BE49-F238E27FC236}">
              <a16:creationId xmlns:a16="http://schemas.microsoft.com/office/drawing/2014/main" id="{3D106069-91C9-4E22-8AA7-727BCD582685}"/>
            </a:ext>
          </a:extLst>
        </xdr:cNvPr>
        <xdr:cNvSpPr/>
      </xdr:nvSpPr>
      <xdr:spPr>
        <a:xfrm flipH="1">
          <a:off x="199159" y="155864"/>
          <a:ext cx="1583747" cy="284019"/>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7C67E-F8D7-4BB7-8597-402992100CC7}">
  <sheetPr>
    <tabColor rgb="FFFF6600"/>
  </sheetPr>
  <dimension ref="A1:AD237"/>
  <sheetViews>
    <sheetView showGridLines="0" tabSelected="1" zoomScale="90" zoomScaleNormal="90" workbookViewId="0"/>
  </sheetViews>
  <sheetFormatPr defaultRowHeight="13.5" x14ac:dyDescent="0.15"/>
  <cols>
    <col min="1" max="1" width="1.75" customWidth="1"/>
    <col min="2" max="2" width="3.25" style="751" customWidth="1"/>
    <col min="3" max="3" width="6.75" customWidth="1"/>
    <col min="6" max="6" width="9" customWidth="1"/>
    <col min="10" max="10" width="11.5" customWidth="1"/>
  </cols>
  <sheetData>
    <row r="1" spans="2:30" x14ac:dyDescent="0.15">
      <c r="U1" s="752"/>
      <c r="V1" s="752"/>
      <c r="W1" s="752"/>
      <c r="X1" s="752"/>
      <c r="Y1" s="752"/>
      <c r="Z1" s="752"/>
      <c r="AA1" s="752"/>
      <c r="AB1" s="752"/>
      <c r="AC1" s="752"/>
      <c r="AD1" s="752"/>
    </row>
    <row r="2" spans="2:30" ht="51" customHeight="1" x14ac:dyDescent="0.15">
      <c r="D2" s="753"/>
      <c r="U2" s="752"/>
      <c r="V2" s="752"/>
      <c r="W2" s="752"/>
      <c r="X2" s="752"/>
      <c r="Y2" s="752"/>
      <c r="Z2" s="752"/>
      <c r="AA2" s="752"/>
      <c r="AB2" s="752"/>
      <c r="AC2" s="752"/>
      <c r="AD2" s="752"/>
    </row>
    <row r="3" spans="2:30" ht="23.25" customHeight="1" x14ac:dyDescent="0.15">
      <c r="B3" s="754"/>
      <c r="C3" s="182"/>
      <c r="J3" s="755"/>
      <c r="U3" s="752"/>
      <c r="V3" s="752"/>
      <c r="W3" s="752"/>
      <c r="X3" s="752"/>
      <c r="Y3" s="752"/>
      <c r="Z3" s="752"/>
      <c r="AA3" s="752"/>
      <c r="AB3" s="752"/>
      <c r="AC3" s="752"/>
      <c r="AD3" s="752"/>
    </row>
    <row r="4" spans="2:30" ht="40.5" customHeight="1" x14ac:dyDescent="0.15">
      <c r="B4" s="754"/>
      <c r="C4" s="182"/>
      <c r="J4" s="755"/>
      <c r="U4" s="752"/>
      <c r="V4" s="752"/>
      <c r="W4" s="752"/>
      <c r="X4" s="752"/>
      <c r="Y4" s="752"/>
      <c r="Z4" s="752"/>
      <c r="AA4" s="752"/>
      <c r="AB4" s="752"/>
      <c r="AC4" s="752"/>
      <c r="AD4" s="752"/>
    </row>
    <row r="5" spans="2:30" ht="23.25" customHeight="1" x14ac:dyDescent="0.15">
      <c r="B5" s="756"/>
      <c r="C5" s="876" t="s">
        <v>174</v>
      </c>
      <c r="D5" s="876"/>
      <c r="J5" s="757"/>
      <c r="U5" s="752"/>
      <c r="V5" s="752"/>
      <c r="W5" s="752"/>
      <c r="X5" s="752"/>
      <c r="Y5" s="752"/>
      <c r="Z5" s="752"/>
      <c r="AA5" s="752"/>
      <c r="AB5" s="752"/>
      <c r="AC5" s="752"/>
      <c r="AD5" s="752"/>
    </row>
    <row r="6" spans="2:30" ht="23.25" customHeight="1" x14ac:dyDescent="0.15">
      <c r="B6" s="754"/>
      <c r="G6" s="758"/>
      <c r="K6" s="758"/>
      <c r="N6" s="758"/>
      <c r="U6" s="752"/>
      <c r="V6" s="752"/>
      <c r="W6" s="752"/>
      <c r="X6" s="752"/>
      <c r="Y6" s="752"/>
      <c r="Z6" s="752"/>
      <c r="AA6" s="752"/>
      <c r="AB6" s="752"/>
      <c r="AC6" s="752"/>
      <c r="AD6" s="752"/>
    </row>
    <row r="7" spans="2:30" ht="23.25" customHeight="1" x14ac:dyDescent="0.15">
      <c r="B7" s="754"/>
      <c r="J7" s="757"/>
      <c r="U7" s="752"/>
      <c r="V7" s="752"/>
      <c r="W7" s="752"/>
      <c r="X7" s="752"/>
      <c r="Y7" s="752"/>
      <c r="Z7" s="752"/>
      <c r="AA7" s="752"/>
      <c r="AB7" s="752"/>
      <c r="AC7" s="752"/>
      <c r="AD7" s="752"/>
    </row>
    <row r="8" spans="2:30" ht="23.25" customHeight="1" x14ac:dyDescent="0.15">
      <c r="B8" s="754"/>
      <c r="U8" s="752"/>
      <c r="V8" s="752"/>
      <c r="W8" s="752"/>
      <c r="X8" s="752"/>
      <c r="Y8" s="752"/>
      <c r="Z8" s="752"/>
      <c r="AA8" s="752"/>
      <c r="AB8" s="752"/>
      <c r="AC8" s="752"/>
      <c r="AD8" s="752"/>
    </row>
    <row r="9" spans="2:30" ht="23.25" customHeight="1" x14ac:dyDescent="0.15">
      <c r="B9" s="754"/>
      <c r="U9" s="752"/>
      <c r="V9" s="752"/>
      <c r="W9" s="752"/>
      <c r="X9" s="752"/>
      <c r="Y9" s="752"/>
      <c r="Z9" s="752"/>
      <c r="AA9" s="752"/>
      <c r="AB9" s="752"/>
      <c r="AC9" s="752"/>
      <c r="AD9" s="752"/>
    </row>
    <row r="10" spans="2:30" ht="23.25" customHeight="1" x14ac:dyDescent="0.15">
      <c r="B10" s="754"/>
      <c r="U10" s="752"/>
      <c r="V10" s="752"/>
      <c r="W10" s="752"/>
      <c r="X10" s="752"/>
      <c r="Y10" s="752"/>
      <c r="Z10" s="752"/>
      <c r="AA10" s="752"/>
      <c r="AB10" s="752"/>
      <c r="AC10" s="752"/>
      <c r="AD10" s="752"/>
    </row>
    <row r="11" spans="2:30" ht="23.25" customHeight="1" x14ac:dyDescent="0.15">
      <c r="B11" s="754"/>
      <c r="U11" s="752"/>
      <c r="V11" s="752"/>
      <c r="W11" s="752"/>
      <c r="X11" s="752"/>
      <c r="Y11" s="752"/>
      <c r="Z11" s="752"/>
      <c r="AA11" s="752"/>
      <c r="AB11" s="752"/>
      <c r="AC11" s="752"/>
      <c r="AD11" s="752"/>
    </row>
    <row r="12" spans="2:30" ht="23.1" customHeight="1" x14ac:dyDescent="0.15">
      <c r="U12" s="752"/>
      <c r="V12" s="752"/>
      <c r="W12" s="752"/>
      <c r="X12" s="752"/>
      <c r="Y12" s="752"/>
      <c r="Z12" s="752"/>
      <c r="AA12" s="752"/>
      <c r="AB12" s="752"/>
      <c r="AC12" s="752"/>
      <c r="AD12" s="752"/>
    </row>
    <row r="13" spans="2:30" ht="23.1" customHeight="1" x14ac:dyDescent="0.15">
      <c r="B13" s="754"/>
      <c r="U13" s="752"/>
      <c r="V13" s="752"/>
      <c r="W13" s="752"/>
      <c r="X13" s="752"/>
      <c r="Y13" s="752"/>
      <c r="Z13" s="752"/>
      <c r="AA13" s="752"/>
      <c r="AB13" s="752"/>
      <c r="AC13" s="752"/>
      <c r="AD13" s="752"/>
    </row>
    <row r="14" spans="2:30" ht="23.1" customHeight="1" x14ac:dyDescent="0.15">
      <c r="B14" s="754"/>
      <c r="U14" s="752"/>
      <c r="V14" s="752"/>
      <c r="W14" s="752"/>
      <c r="X14" s="752"/>
      <c r="Y14" s="752"/>
      <c r="Z14" s="752"/>
      <c r="AA14" s="752"/>
      <c r="AB14" s="752"/>
      <c r="AC14" s="752"/>
      <c r="AD14" s="752"/>
    </row>
    <row r="15" spans="2:30" ht="23.1" customHeight="1" x14ac:dyDescent="0.15">
      <c r="B15" s="754"/>
      <c r="U15" s="752"/>
      <c r="V15" s="752"/>
      <c r="W15" s="752"/>
      <c r="X15" s="752"/>
      <c r="Y15" s="752"/>
      <c r="Z15" s="752"/>
      <c r="AA15" s="752"/>
      <c r="AB15" s="752"/>
      <c r="AC15" s="752"/>
      <c r="AD15" s="752"/>
    </row>
    <row r="16" spans="2:30" ht="37.5" customHeight="1" x14ac:dyDescent="0.15">
      <c r="O16" s="170"/>
      <c r="U16" s="752"/>
      <c r="V16" s="752"/>
      <c r="W16" s="752"/>
      <c r="X16" s="752"/>
      <c r="Y16" s="752"/>
      <c r="Z16" s="752"/>
      <c r="AA16" s="752"/>
      <c r="AB16" s="752"/>
      <c r="AC16" s="752"/>
      <c r="AD16" s="752"/>
    </row>
    <row r="17" spans="2:30" ht="37.5" customHeight="1" x14ac:dyDescent="0.15">
      <c r="B17" s="759"/>
      <c r="C17" s="752"/>
      <c r="D17" s="752"/>
      <c r="E17" s="752"/>
      <c r="F17" s="752"/>
      <c r="G17" s="752"/>
      <c r="H17" s="760" t="s">
        <v>374</v>
      </c>
      <c r="I17" s="752"/>
      <c r="J17" s="752"/>
      <c r="K17" s="752"/>
      <c r="L17" s="752"/>
      <c r="M17" s="752"/>
      <c r="N17" s="752"/>
      <c r="O17" s="761"/>
      <c r="P17" s="752"/>
      <c r="Q17" s="752"/>
      <c r="R17" s="752"/>
      <c r="S17" s="752"/>
      <c r="T17" s="752"/>
      <c r="U17" s="752"/>
      <c r="V17" s="752"/>
      <c r="W17" s="752"/>
      <c r="X17" s="752"/>
      <c r="Y17" s="752"/>
      <c r="Z17" s="752"/>
      <c r="AA17" s="752"/>
      <c r="AB17" s="752"/>
      <c r="AC17" s="752"/>
      <c r="AD17" s="752"/>
    </row>
    <row r="18" spans="2:30" ht="37.5" customHeight="1" x14ac:dyDescent="0.15">
      <c r="B18" s="759"/>
      <c r="C18" s="752"/>
      <c r="D18" s="752"/>
      <c r="E18" s="752"/>
      <c r="F18" s="752"/>
      <c r="G18" s="752"/>
      <c r="H18" s="752"/>
      <c r="I18" s="752"/>
      <c r="J18" s="752"/>
      <c r="K18" s="752"/>
      <c r="L18" s="752"/>
      <c r="M18" s="752"/>
      <c r="N18" s="752"/>
      <c r="O18" s="761"/>
      <c r="P18" s="752"/>
      <c r="Q18" s="752"/>
      <c r="R18" s="752"/>
      <c r="S18" s="752"/>
      <c r="T18" s="752"/>
      <c r="U18" s="752"/>
      <c r="V18" s="752"/>
      <c r="W18" s="752"/>
      <c r="X18" s="752"/>
      <c r="Y18" s="752"/>
      <c r="Z18" s="752"/>
      <c r="AA18" s="752"/>
      <c r="AB18" s="752"/>
      <c r="AC18" s="752"/>
      <c r="AD18" s="752"/>
    </row>
    <row r="19" spans="2:30" ht="37.5" customHeight="1" x14ac:dyDescent="0.15">
      <c r="B19" s="759"/>
      <c r="C19" s="752"/>
      <c r="D19" s="752"/>
      <c r="E19" s="752"/>
      <c r="F19" s="752"/>
      <c r="G19" s="752"/>
      <c r="H19" s="752"/>
      <c r="I19" s="752"/>
      <c r="J19" s="752"/>
      <c r="K19" s="752"/>
      <c r="L19" s="752"/>
      <c r="M19" s="752"/>
      <c r="N19" s="752"/>
      <c r="O19" s="761"/>
      <c r="P19" s="752"/>
      <c r="Q19" s="752"/>
      <c r="R19" s="752"/>
      <c r="S19" s="752"/>
      <c r="T19" s="752"/>
      <c r="U19" s="752"/>
      <c r="V19" s="752"/>
      <c r="W19" s="752"/>
      <c r="X19" s="752"/>
      <c r="Y19" s="752"/>
      <c r="Z19" s="752"/>
      <c r="AA19" s="752"/>
      <c r="AB19" s="752"/>
      <c r="AC19" s="752"/>
      <c r="AD19" s="752"/>
    </row>
    <row r="20" spans="2:30" ht="37.5" customHeight="1" x14ac:dyDescent="0.15">
      <c r="B20" s="759"/>
      <c r="C20" s="752"/>
      <c r="D20" s="752"/>
      <c r="E20" s="752"/>
      <c r="F20" s="752"/>
      <c r="G20" s="752"/>
      <c r="H20" s="752"/>
      <c r="I20" s="752"/>
      <c r="J20" s="752"/>
      <c r="K20" s="752"/>
      <c r="L20" s="752"/>
      <c r="M20" s="752"/>
      <c r="N20" s="752"/>
      <c r="O20" s="761"/>
      <c r="P20" s="752"/>
      <c r="Q20" s="752"/>
      <c r="R20" s="752"/>
      <c r="S20" s="752"/>
      <c r="T20" s="752"/>
      <c r="U20" s="752"/>
      <c r="V20" s="752"/>
      <c r="W20" s="752"/>
      <c r="X20" s="752"/>
      <c r="Y20" s="752"/>
      <c r="Z20" s="752"/>
      <c r="AA20" s="752"/>
      <c r="AB20" s="752"/>
      <c r="AC20" s="752"/>
      <c r="AD20" s="752"/>
    </row>
    <row r="21" spans="2:30" ht="37.5" customHeight="1" x14ac:dyDescent="0.15">
      <c r="B21" s="759"/>
      <c r="C21" s="752"/>
      <c r="D21" s="752"/>
      <c r="E21" s="752"/>
      <c r="F21" s="752"/>
      <c r="G21" s="752"/>
      <c r="H21" s="752"/>
      <c r="I21" s="752"/>
      <c r="J21" s="752"/>
      <c r="K21" s="752"/>
      <c r="L21" s="752"/>
      <c r="M21" s="752"/>
      <c r="N21" s="752"/>
      <c r="O21" s="761"/>
      <c r="P21" s="752"/>
      <c r="Q21" s="752"/>
      <c r="R21" s="752"/>
      <c r="S21" s="752"/>
      <c r="T21" s="752"/>
      <c r="U21" s="752"/>
      <c r="V21" s="752"/>
      <c r="W21" s="752"/>
      <c r="X21" s="752"/>
      <c r="Y21" s="752"/>
      <c r="Z21" s="752"/>
      <c r="AA21" s="752"/>
      <c r="AB21" s="752"/>
      <c r="AC21" s="752"/>
      <c r="AD21" s="752"/>
    </row>
    <row r="22" spans="2:30" ht="37.5" customHeight="1" x14ac:dyDescent="0.15">
      <c r="B22" s="759"/>
      <c r="C22" s="752"/>
      <c r="D22" s="752"/>
      <c r="E22" s="752"/>
      <c r="F22" s="752"/>
      <c r="G22" s="752"/>
      <c r="H22" s="752"/>
      <c r="I22" s="752"/>
      <c r="J22" s="752"/>
      <c r="K22" s="752"/>
      <c r="L22" s="752"/>
      <c r="M22" s="752"/>
      <c r="N22" s="752"/>
      <c r="O22" s="761"/>
      <c r="P22" s="752"/>
      <c r="Q22" s="752"/>
      <c r="R22" s="752"/>
      <c r="S22" s="752"/>
      <c r="T22" s="752"/>
      <c r="U22" s="752"/>
      <c r="V22" s="752"/>
      <c r="W22" s="752"/>
      <c r="X22" s="752"/>
      <c r="Y22" s="752"/>
      <c r="Z22" s="752"/>
      <c r="AA22" s="752"/>
      <c r="AB22" s="752"/>
      <c r="AC22" s="752"/>
      <c r="AD22" s="752"/>
    </row>
    <row r="23" spans="2:30" ht="37.5" customHeight="1" x14ac:dyDescent="0.15">
      <c r="B23" s="759"/>
      <c r="C23" s="752"/>
      <c r="D23" s="752"/>
      <c r="E23" s="752"/>
      <c r="F23" s="752"/>
      <c r="G23" s="752"/>
      <c r="H23" s="752"/>
      <c r="I23" s="752"/>
      <c r="J23" s="752"/>
      <c r="K23" s="752"/>
      <c r="L23" s="752"/>
      <c r="M23" s="752"/>
      <c r="N23" s="752"/>
      <c r="O23" s="761"/>
      <c r="P23" s="752"/>
      <c r="Q23" s="752"/>
      <c r="R23" s="752"/>
      <c r="S23" s="752"/>
      <c r="T23" s="752"/>
      <c r="U23" s="752"/>
      <c r="V23" s="752"/>
      <c r="W23" s="752"/>
      <c r="X23" s="752"/>
      <c r="Y23" s="752"/>
      <c r="Z23" s="752"/>
      <c r="AA23" s="752"/>
      <c r="AB23" s="752"/>
      <c r="AC23" s="752"/>
      <c r="AD23" s="752"/>
    </row>
    <row r="24" spans="2:30" ht="37.5" customHeight="1" x14ac:dyDescent="0.15">
      <c r="B24" s="759"/>
      <c r="C24" s="752"/>
      <c r="D24" s="752"/>
      <c r="E24" s="752"/>
      <c r="F24" s="752"/>
      <c r="G24" s="752"/>
      <c r="H24" s="752"/>
      <c r="I24" s="752"/>
      <c r="J24" s="752"/>
      <c r="K24" s="752"/>
      <c r="L24" s="752"/>
      <c r="M24" s="752"/>
      <c r="N24" s="752"/>
      <c r="O24" s="761"/>
      <c r="P24" s="752"/>
      <c r="Q24" s="752"/>
      <c r="R24" s="752"/>
      <c r="S24" s="752"/>
      <c r="T24" s="752"/>
      <c r="U24" s="752"/>
      <c r="V24" s="752"/>
      <c r="W24" s="752"/>
      <c r="X24" s="752"/>
      <c r="Y24" s="752"/>
      <c r="Z24" s="752"/>
      <c r="AA24" s="752"/>
      <c r="AB24" s="752"/>
      <c r="AC24" s="752"/>
      <c r="AD24" s="752"/>
    </row>
    <row r="25" spans="2:30" ht="37.5" customHeight="1" x14ac:dyDescent="0.15">
      <c r="B25" s="759"/>
      <c r="C25" s="752"/>
      <c r="D25" s="752"/>
      <c r="E25" s="752"/>
      <c r="F25" s="752"/>
      <c r="G25" s="752"/>
      <c r="H25" s="752"/>
      <c r="I25" s="752"/>
      <c r="J25" s="752"/>
      <c r="K25" s="752"/>
      <c r="L25" s="752"/>
      <c r="M25" s="752"/>
      <c r="N25" s="752"/>
      <c r="O25" s="761"/>
      <c r="P25" s="752"/>
      <c r="Q25" s="752"/>
      <c r="R25" s="752"/>
      <c r="S25" s="752"/>
      <c r="T25" s="752"/>
      <c r="U25" s="752"/>
      <c r="V25" s="752"/>
      <c r="W25" s="752"/>
      <c r="X25" s="752"/>
      <c r="Y25" s="752"/>
      <c r="Z25" s="752"/>
      <c r="AA25" s="752"/>
      <c r="AB25" s="752"/>
      <c r="AC25" s="752"/>
      <c r="AD25" s="752"/>
    </row>
    <row r="26" spans="2:30" ht="37.5" customHeight="1" x14ac:dyDescent="0.15">
      <c r="B26" s="759"/>
      <c r="C26" s="752"/>
      <c r="D26" s="752"/>
      <c r="E26" s="752"/>
      <c r="F26" s="752"/>
      <c r="G26" s="752"/>
      <c r="H26" s="752"/>
      <c r="I26" s="752"/>
      <c r="J26" s="752"/>
      <c r="K26" s="752"/>
      <c r="L26" s="752"/>
      <c r="M26" s="752"/>
      <c r="N26" s="752"/>
      <c r="O26" s="761"/>
      <c r="P26" s="752"/>
      <c r="Q26" s="752"/>
      <c r="R26" s="752"/>
      <c r="S26" s="752"/>
      <c r="T26" s="752"/>
      <c r="U26" s="752"/>
      <c r="V26" s="752"/>
      <c r="W26" s="752"/>
      <c r="X26" s="752"/>
      <c r="Y26" s="752"/>
      <c r="Z26" s="752"/>
      <c r="AA26" s="752"/>
      <c r="AB26" s="752"/>
      <c r="AC26" s="752"/>
      <c r="AD26" s="752"/>
    </row>
    <row r="27" spans="2:30" ht="37.5" customHeight="1" x14ac:dyDescent="0.15">
      <c r="B27" s="759"/>
      <c r="C27" s="752"/>
      <c r="D27" s="752"/>
      <c r="E27" s="752"/>
      <c r="F27" s="752"/>
      <c r="G27" s="752"/>
      <c r="H27" s="752"/>
      <c r="I27" s="752"/>
      <c r="J27" s="752"/>
      <c r="K27" s="752"/>
      <c r="L27" s="752"/>
      <c r="M27" s="752"/>
      <c r="N27" s="752"/>
      <c r="O27" s="761"/>
      <c r="P27" s="752"/>
      <c r="Q27" s="752"/>
      <c r="R27" s="752"/>
      <c r="S27" s="752"/>
      <c r="T27" s="752"/>
      <c r="U27" s="752"/>
      <c r="V27" s="752"/>
      <c r="W27" s="752"/>
      <c r="X27" s="752"/>
      <c r="Y27" s="752"/>
      <c r="Z27" s="752"/>
      <c r="AA27" s="752"/>
      <c r="AB27" s="752"/>
      <c r="AC27" s="752"/>
      <c r="AD27" s="752"/>
    </row>
    <row r="28" spans="2:30" ht="37.5" customHeight="1" x14ac:dyDescent="0.15">
      <c r="B28" s="759"/>
      <c r="C28" s="752"/>
      <c r="D28" s="752"/>
      <c r="E28" s="752"/>
      <c r="F28" s="752"/>
      <c r="G28" s="752"/>
      <c r="H28" s="752"/>
      <c r="I28" s="752"/>
      <c r="J28" s="752"/>
      <c r="K28" s="752"/>
      <c r="L28" s="752"/>
      <c r="M28" s="752"/>
      <c r="N28" s="752"/>
      <c r="O28" s="761"/>
      <c r="P28" s="752"/>
      <c r="Q28" s="752"/>
      <c r="R28" s="752"/>
      <c r="S28" s="752"/>
      <c r="T28" s="752"/>
      <c r="U28" s="752"/>
      <c r="V28" s="752"/>
      <c r="W28" s="752"/>
      <c r="X28" s="752"/>
      <c r="Y28" s="752"/>
      <c r="Z28" s="752"/>
      <c r="AA28" s="752"/>
      <c r="AB28" s="752"/>
      <c r="AC28" s="752"/>
      <c r="AD28" s="752"/>
    </row>
    <row r="29" spans="2:30" ht="37.5" customHeight="1" x14ac:dyDescent="0.15">
      <c r="B29" s="759"/>
      <c r="C29" s="752"/>
      <c r="D29" s="752"/>
      <c r="E29" s="752"/>
      <c r="F29" s="752"/>
      <c r="G29" s="752"/>
      <c r="H29" s="752"/>
      <c r="I29" s="752"/>
      <c r="J29" s="752"/>
      <c r="K29" s="752"/>
      <c r="L29" s="752"/>
      <c r="M29" s="752"/>
      <c r="N29" s="752"/>
      <c r="O29" s="761"/>
      <c r="P29" s="752"/>
      <c r="Q29" s="752"/>
      <c r="R29" s="752"/>
      <c r="S29" s="752"/>
      <c r="T29" s="752"/>
      <c r="U29" s="752"/>
      <c r="V29" s="752"/>
      <c r="W29" s="752"/>
      <c r="X29" s="752"/>
      <c r="Y29" s="752"/>
      <c r="Z29" s="752"/>
      <c r="AA29" s="752"/>
      <c r="AB29" s="752"/>
      <c r="AC29" s="752"/>
      <c r="AD29" s="752"/>
    </row>
    <row r="30" spans="2:30" ht="37.5" customHeight="1" x14ac:dyDescent="0.15">
      <c r="B30" s="759"/>
      <c r="C30" s="752"/>
      <c r="D30" s="752"/>
      <c r="E30" s="752"/>
      <c r="F30" s="752"/>
      <c r="G30" s="752"/>
      <c r="H30" s="752"/>
      <c r="I30" s="752"/>
      <c r="J30" s="752"/>
      <c r="K30" s="752"/>
      <c r="L30" s="752"/>
      <c r="M30" s="752"/>
      <c r="N30" s="752"/>
      <c r="O30" s="761"/>
      <c r="P30" s="752"/>
      <c r="Q30" s="752"/>
      <c r="R30" s="752"/>
      <c r="S30" s="752"/>
      <c r="T30" s="752"/>
      <c r="U30" s="752"/>
      <c r="V30" s="752"/>
      <c r="W30" s="752"/>
      <c r="X30" s="752"/>
      <c r="Y30" s="752"/>
      <c r="Z30" s="752"/>
      <c r="AA30" s="752"/>
      <c r="AB30" s="752"/>
      <c r="AC30" s="752"/>
      <c r="AD30" s="752"/>
    </row>
    <row r="31" spans="2:30" ht="23.1" customHeight="1" x14ac:dyDescent="0.15">
      <c r="B31" s="762" t="s">
        <v>173</v>
      </c>
      <c r="C31" s="763"/>
      <c r="D31" s="763"/>
    </row>
    <row r="32" spans="2:30" ht="23.1" customHeight="1" x14ac:dyDescent="0.15">
      <c r="B32" s="754"/>
    </row>
    <row r="33" spans="2:8" ht="23.1" customHeight="1" x14ac:dyDescent="0.15">
      <c r="B33" s="764" t="s">
        <v>180</v>
      </c>
      <c r="C33" s="765" t="s">
        <v>179</v>
      </c>
      <c r="D33" s="766"/>
      <c r="E33" s="767"/>
    </row>
    <row r="34" spans="2:8" ht="23.1" customHeight="1" x14ac:dyDescent="0.15">
      <c r="B34" s="764"/>
      <c r="C34" s="768" t="s">
        <v>287</v>
      </c>
    </row>
    <row r="35" spans="2:8" ht="23.1" customHeight="1" x14ac:dyDescent="0.15">
      <c r="B35" s="764"/>
      <c r="D35" s="768" t="s">
        <v>288</v>
      </c>
    </row>
    <row r="36" spans="2:8" ht="23.1" customHeight="1" x14ac:dyDescent="0.15">
      <c r="B36" s="764"/>
      <c r="C36" s="769"/>
      <c r="D36" s="770" t="s">
        <v>285</v>
      </c>
    </row>
    <row r="37" spans="2:8" ht="23.1" customHeight="1" x14ac:dyDescent="0.15">
      <c r="B37" s="764"/>
      <c r="C37" s="771"/>
      <c r="D37" s="771"/>
      <c r="E37" s="771"/>
      <c r="F37" s="771"/>
      <c r="G37" s="771"/>
      <c r="H37" s="772"/>
    </row>
    <row r="38" spans="2:8" ht="23.1" customHeight="1" x14ac:dyDescent="0.15">
      <c r="B38" s="764"/>
      <c r="C38" s="771"/>
      <c r="D38" s="771"/>
      <c r="E38" s="771"/>
      <c r="F38" s="771"/>
      <c r="G38" s="771"/>
      <c r="H38" s="772"/>
    </row>
    <row r="39" spans="2:8" ht="23.1" customHeight="1" x14ac:dyDescent="0.15">
      <c r="B39" s="764"/>
      <c r="C39" s="771"/>
      <c r="D39" s="772"/>
      <c r="E39" s="772"/>
      <c r="F39" s="772"/>
      <c r="G39" s="772"/>
      <c r="H39" s="772"/>
    </row>
    <row r="40" spans="2:8" ht="23.1" customHeight="1" x14ac:dyDescent="0.15">
      <c r="B40" s="764"/>
      <c r="C40" s="769"/>
      <c r="D40" s="773"/>
    </row>
    <row r="41" spans="2:8" ht="23.1" customHeight="1" x14ac:dyDescent="0.15">
      <c r="B41" s="764"/>
      <c r="C41" s="769"/>
      <c r="D41" s="773"/>
    </row>
    <row r="42" spans="2:8" ht="23.1" customHeight="1" x14ac:dyDescent="0.15">
      <c r="B42" s="764"/>
      <c r="C42" s="769"/>
      <c r="D42" s="773"/>
    </row>
    <row r="43" spans="2:8" ht="23.1" customHeight="1" x14ac:dyDescent="0.15">
      <c r="B43" s="764"/>
      <c r="C43" s="769"/>
      <c r="D43" s="773"/>
    </row>
    <row r="44" spans="2:8" ht="23.1" customHeight="1" x14ac:dyDescent="0.15">
      <c r="B44" s="764"/>
      <c r="C44" s="769"/>
      <c r="D44" s="773"/>
    </row>
    <row r="45" spans="2:8" ht="23.1" customHeight="1" x14ac:dyDescent="0.15">
      <c r="B45" s="764"/>
      <c r="C45" s="769"/>
      <c r="D45" s="773"/>
    </row>
    <row r="46" spans="2:8" ht="22.5" customHeight="1" x14ac:dyDescent="0.15">
      <c r="B46" s="764"/>
      <c r="C46" s="769"/>
      <c r="D46" s="773"/>
    </row>
    <row r="47" spans="2:8" ht="22.5" customHeight="1" x14ac:dyDescent="0.15">
      <c r="B47" s="764"/>
      <c r="C47" s="769"/>
      <c r="D47" s="773"/>
    </row>
    <row r="48" spans="2:8" ht="23.1" customHeight="1" x14ac:dyDescent="0.15">
      <c r="B48" s="764"/>
      <c r="C48" s="771" t="s">
        <v>286</v>
      </c>
      <c r="D48" s="773"/>
    </row>
    <row r="49" spans="2:14" ht="23.1" customHeight="1" x14ac:dyDescent="0.15">
      <c r="B49" s="764"/>
      <c r="C49" s="771" t="s">
        <v>380</v>
      </c>
      <c r="D49" s="773"/>
    </row>
    <row r="50" spans="2:14" ht="23.1" customHeight="1" x14ac:dyDescent="0.15">
      <c r="B50" s="764"/>
      <c r="C50" s="771" t="s">
        <v>184</v>
      </c>
      <c r="D50" s="773"/>
      <c r="N50" s="774"/>
    </row>
    <row r="51" spans="2:14" ht="23.1" customHeight="1" x14ac:dyDescent="0.15">
      <c r="B51" s="764"/>
      <c r="C51" s="775" t="s">
        <v>183</v>
      </c>
      <c r="D51" s="773"/>
    </row>
    <row r="52" spans="2:14" ht="10.5" customHeight="1" x14ac:dyDescent="0.15">
      <c r="B52" s="764"/>
      <c r="C52" s="771"/>
      <c r="D52" s="776" t="s">
        <v>154</v>
      </c>
      <c r="F52" s="776"/>
    </row>
    <row r="53" spans="2:14" ht="23.1" customHeight="1" x14ac:dyDescent="0.15">
      <c r="B53" s="764"/>
      <c r="C53" s="771"/>
      <c r="D53" s="773"/>
    </row>
    <row r="54" spans="2:14" ht="23.1" customHeight="1" x14ac:dyDescent="0.15">
      <c r="B54" s="764"/>
      <c r="C54" s="771"/>
      <c r="D54" s="773"/>
    </row>
    <row r="55" spans="2:14" ht="23.1" customHeight="1" x14ac:dyDescent="0.15">
      <c r="B55" s="764"/>
      <c r="C55" s="771"/>
      <c r="D55" s="773"/>
    </row>
    <row r="56" spans="2:14" ht="23.1" customHeight="1" x14ac:dyDescent="0.15">
      <c r="B56" s="764"/>
      <c r="C56" s="771"/>
      <c r="D56" s="773"/>
    </row>
    <row r="57" spans="2:14" ht="23.1" customHeight="1" x14ac:dyDescent="0.15">
      <c r="B57" s="764"/>
      <c r="C57" s="769"/>
    </row>
    <row r="58" spans="2:14" ht="23.1" customHeight="1" x14ac:dyDescent="0.15">
      <c r="B58" s="764"/>
      <c r="C58" s="769"/>
    </row>
    <row r="59" spans="2:14" ht="23.1" customHeight="1" x14ac:dyDescent="0.15">
      <c r="B59" s="764"/>
      <c r="C59" s="769"/>
    </row>
    <row r="60" spans="2:14" ht="23.1" customHeight="1" x14ac:dyDescent="0.15">
      <c r="B60" s="764"/>
      <c r="C60" s="769"/>
    </row>
    <row r="61" spans="2:14" ht="23.1" customHeight="1" x14ac:dyDescent="0.15">
      <c r="B61" s="764"/>
      <c r="C61" s="769"/>
    </row>
    <row r="62" spans="2:14" ht="23.1" customHeight="1" x14ac:dyDescent="0.15">
      <c r="B62" s="764"/>
      <c r="C62" s="769"/>
    </row>
    <row r="63" spans="2:14" ht="23.1" customHeight="1" x14ac:dyDescent="0.15">
      <c r="B63" s="764"/>
      <c r="C63" s="769"/>
    </row>
    <row r="64" spans="2:14" ht="23.1" customHeight="1" x14ac:dyDescent="0.15">
      <c r="B64" s="764"/>
      <c r="C64" s="769"/>
    </row>
    <row r="65" spans="1:10" ht="23.1" customHeight="1" x14ac:dyDescent="0.15">
      <c r="B65" s="764"/>
      <c r="C65" s="769"/>
    </row>
    <row r="66" spans="1:10" ht="23.1" customHeight="1" x14ac:dyDescent="0.15">
      <c r="B66" s="764"/>
      <c r="C66" s="777" t="s">
        <v>389</v>
      </c>
    </row>
    <row r="67" spans="1:10" ht="23.1" customHeight="1" x14ac:dyDescent="0.15">
      <c r="B67" s="764"/>
      <c r="C67" s="777" t="s">
        <v>263</v>
      </c>
    </row>
    <row r="68" spans="1:10" ht="23.1" customHeight="1" x14ac:dyDescent="0.15">
      <c r="B68" s="764"/>
      <c r="C68" s="769"/>
    </row>
    <row r="69" spans="1:10" ht="23.1" customHeight="1" x14ac:dyDescent="0.15">
      <c r="B69" s="764"/>
      <c r="C69" s="769"/>
    </row>
    <row r="70" spans="1:10" ht="23.1" customHeight="1" x14ac:dyDescent="0.15">
      <c r="B70" s="764"/>
      <c r="C70" s="769"/>
    </row>
    <row r="71" spans="1:10" ht="23.1" customHeight="1" x14ac:dyDescent="0.15">
      <c r="B71" s="764"/>
      <c r="C71" s="769"/>
    </row>
    <row r="72" spans="1:10" ht="23.1" customHeight="1" x14ac:dyDescent="0.15">
      <c r="B72" s="764"/>
      <c r="C72" s="769"/>
    </row>
    <row r="73" spans="1:10" ht="23.1" customHeight="1" x14ac:dyDescent="0.15">
      <c r="B73" s="764"/>
      <c r="C73" s="769"/>
    </row>
    <row r="74" spans="1:10" ht="23.1" customHeight="1" x14ac:dyDescent="0.15">
      <c r="B74" s="764"/>
      <c r="C74" s="769"/>
    </row>
    <row r="75" spans="1:10" ht="13.5" customHeight="1" x14ac:dyDescent="0.15">
      <c r="B75" s="754"/>
    </row>
    <row r="76" spans="1:10" ht="23.1" customHeight="1" x14ac:dyDescent="0.15">
      <c r="B76" s="764" t="s">
        <v>180</v>
      </c>
      <c r="C76" s="765" t="s">
        <v>181</v>
      </c>
      <c r="D76" s="766"/>
      <c r="E76" s="767"/>
      <c r="F76" s="767"/>
    </row>
    <row r="77" spans="1:10" ht="11.25" customHeight="1" x14ac:dyDescent="0.15">
      <c r="B77" s="754"/>
    </row>
    <row r="78" spans="1:10" ht="21.95" customHeight="1" x14ac:dyDescent="0.15">
      <c r="B78" s="754"/>
      <c r="C78" s="777" t="s">
        <v>186</v>
      </c>
      <c r="D78" s="768"/>
      <c r="J78" s="777" t="s">
        <v>187</v>
      </c>
    </row>
    <row r="79" spans="1:10" ht="21.95" customHeight="1" x14ac:dyDescent="0.15">
      <c r="A79" s="778"/>
      <c r="B79" s="754"/>
      <c r="C79" s="771" t="s">
        <v>185</v>
      </c>
      <c r="J79" s="771" t="s">
        <v>284</v>
      </c>
    </row>
    <row r="80" spans="1:10" ht="21.95" customHeight="1" x14ac:dyDescent="0.15">
      <c r="B80" s="754"/>
    </row>
    <row r="81" spans="2:15" ht="21.95" customHeight="1" x14ac:dyDescent="0.15">
      <c r="B81" s="754"/>
    </row>
    <row r="82" spans="2:15" ht="21.95" customHeight="1" x14ac:dyDescent="0.15">
      <c r="B82" s="754"/>
    </row>
    <row r="83" spans="2:15" ht="21.95" customHeight="1" x14ac:dyDescent="0.15">
      <c r="B83" s="754"/>
    </row>
    <row r="84" spans="2:15" ht="16.5" customHeight="1" x14ac:dyDescent="0.15">
      <c r="B84" s="754"/>
    </row>
    <row r="85" spans="2:15" ht="32.25" customHeight="1" x14ac:dyDescent="0.15">
      <c r="B85"/>
      <c r="C85" s="779" t="s">
        <v>133</v>
      </c>
      <c r="D85" s="772"/>
      <c r="E85" s="780"/>
      <c r="I85" s="781"/>
      <c r="J85" s="782"/>
      <c r="O85" s="783"/>
    </row>
    <row r="86" spans="2:15" ht="13.5" customHeight="1" x14ac:dyDescent="0.15">
      <c r="B86"/>
      <c r="C86" s="784"/>
      <c r="D86" s="785" t="s">
        <v>388</v>
      </c>
      <c r="E86" s="786"/>
      <c r="F86" s="787"/>
      <c r="G86" s="788"/>
      <c r="I86" s="786"/>
      <c r="J86" s="787"/>
      <c r="L86" s="786"/>
      <c r="M86" s="786"/>
    </row>
    <row r="87" spans="2:15" ht="30" customHeight="1" x14ac:dyDescent="0.15">
      <c r="B87"/>
      <c r="C87" s="779" t="s">
        <v>134</v>
      </c>
      <c r="D87" s="789"/>
      <c r="G87" s="790"/>
      <c r="H87" s="790"/>
    </row>
    <row r="88" spans="2:15" ht="13.5" customHeight="1" x14ac:dyDescent="0.15">
      <c r="B88"/>
      <c r="C88" s="784"/>
      <c r="D88" s="785" t="s">
        <v>388</v>
      </c>
      <c r="E88" s="786"/>
      <c r="F88" s="787"/>
      <c r="G88" s="788"/>
      <c r="I88" s="786"/>
      <c r="J88" s="787"/>
      <c r="L88" s="786"/>
      <c r="M88" s="786"/>
    </row>
    <row r="89" spans="2:15" ht="21.95" customHeight="1" x14ac:dyDescent="0.15">
      <c r="B89" s="754"/>
    </row>
    <row r="90" spans="2:15" ht="21.95" customHeight="1" x14ac:dyDescent="0.15">
      <c r="B90" s="754"/>
      <c r="C90" s="777" t="s">
        <v>135</v>
      </c>
    </row>
    <row r="91" spans="2:15" ht="21.95" customHeight="1" x14ac:dyDescent="0.15">
      <c r="C91" s="771" t="s">
        <v>188</v>
      </c>
    </row>
    <row r="92" spans="2:15" ht="21.95" customHeight="1" x14ac:dyDescent="0.15">
      <c r="B92" s="754"/>
      <c r="D92" s="791" t="s">
        <v>189</v>
      </c>
    </row>
    <row r="93" spans="2:15" ht="21.95" customHeight="1" x14ac:dyDescent="0.15">
      <c r="B93" s="754"/>
    </row>
    <row r="94" spans="2:15" ht="21.95" customHeight="1" x14ac:dyDescent="0.15">
      <c r="B94" s="754"/>
    </row>
    <row r="95" spans="2:15" ht="21.95" customHeight="1" x14ac:dyDescent="0.15">
      <c r="B95" s="754"/>
    </row>
    <row r="96" spans="2:15" ht="21.95" customHeight="1" x14ac:dyDescent="0.15">
      <c r="B96" s="754"/>
    </row>
    <row r="97" spans="2:5" ht="21.95" customHeight="1" x14ac:dyDescent="0.15">
      <c r="B97" s="754"/>
    </row>
    <row r="98" spans="2:5" ht="21.95" customHeight="1" x14ac:dyDescent="0.15">
      <c r="B98" s="754"/>
    </row>
    <row r="99" spans="2:5" ht="21.95" customHeight="1" x14ac:dyDescent="0.15">
      <c r="B99" s="754"/>
    </row>
    <row r="100" spans="2:5" ht="21.95" customHeight="1" x14ac:dyDescent="0.15">
      <c r="B100"/>
      <c r="C100" s="792" t="s">
        <v>180</v>
      </c>
      <c r="D100" s="770" t="s">
        <v>367</v>
      </c>
      <c r="E100" s="793"/>
    </row>
    <row r="101" spans="2:5" ht="12" customHeight="1" x14ac:dyDescent="0.15">
      <c r="B101"/>
    </row>
    <row r="102" spans="2:5" ht="21.95" customHeight="1" x14ac:dyDescent="0.15">
      <c r="B102"/>
      <c r="D102" s="188" t="s">
        <v>206</v>
      </c>
    </row>
    <row r="103" spans="2:5" ht="21.95" customHeight="1" x14ac:dyDescent="0.15">
      <c r="B103"/>
    </row>
    <row r="104" spans="2:5" ht="21.95" customHeight="1" x14ac:dyDescent="0.15">
      <c r="B104"/>
    </row>
    <row r="105" spans="2:5" ht="21.95" customHeight="1" x14ac:dyDescent="0.15">
      <c r="B105"/>
    </row>
    <row r="106" spans="2:5" ht="21.95" customHeight="1" x14ac:dyDescent="0.15">
      <c r="B106"/>
    </row>
    <row r="107" spans="2:5" ht="21.95" customHeight="1" x14ac:dyDescent="0.15">
      <c r="B107"/>
    </row>
    <row r="108" spans="2:5" ht="21.95" customHeight="1" x14ac:dyDescent="0.15">
      <c r="B108"/>
    </row>
    <row r="109" spans="2:5" ht="21.95" customHeight="1" x14ac:dyDescent="0.15">
      <c r="B109"/>
    </row>
    <row r="110" spans="2:5" ht="21.95" customHeight="1" x14ac:dyDescent="0.15">
      <c r="B110"/>
    </row>
    <row r="111" spans="2:5" ht="21.95" customHeight="1" x14ac:dyDescent="0.15">
      <c r="B111"/>
    </row>
    <row r="112" spans="2:5" ht="21.95" customHeight="1" x14ac:dyDescent="0.15">
      <c r="B112"/>
    </row>
    <row r="113" spans="2:5" ht="21.95" customHeight="1" x14ac:dyDescent="0.15">
      <c r="B113"/>
    </row>
    <row r="114" spans="2:5" ht="21.95" customHeight="1" x14ac:dyDescent="0.15">
      <c r="B114"/>
    </row>
    <row r="115" spans="2:5" ht="21.95" customHeight="1" x14ac:dyDescent="0.15">
      <c r="B115"/>
    </row>
    <row r="116" spans="2:5" ht="21.95" customHeight="1" x14ac:dyDescent="0.15">
      <c r="B116"/>
    </row>
    <row r="117" spans="2:5" ht="21.95" customHeight="1" x14ac:dyDescent="0.15">
      <c r="B117"/>
    </row>
    <row r="118" spans="2:5" ht="21.95" customHeight="1" x14ac:dyDescent="0.15">
      <c r="B118"/>
    </row>
    <row r="119" spans="2:5" ht="21.95" customHeight="1" x14ac:dyDescent="0.15">
      <c r="B119"/>
    </row>
    <row r="120" spans="2:5" ht="21.95" customHeight="1" x14ac:dyDescent="0.15">
      <c r="B120"/>
    </row>
    <row r="121" spans="2:5" ht="21.95" customHeight="1" x14ac:dyDescent="0.15">
      <c r="B121"/>
    </row>
    <row r="122" spans="2:5" ht="21.95" customHeight="1" x14ac:dyDescent="0.15">
      <c r="B122" s="754"/>
    </row>
    <row r="123" spans="2:5" ht="11.25" customHeight="1" x14ac:dyDescent="0.15">
      <c r="B123" s="754"/>
    </row>
    <row r="124" spans="2:5" ht="21.95" customHeight="1" x14ac:dyDescent="0.15">
      <c r="B124" s="792" t="s">
        <v>180</v>
      </c>
      <c r="C124" s="794" t="s">
        <v>364</v>
      </c>
      <c r="D124" s="795"/>
      <c r="E124" s="795"/>
    </row>
    <row r="125" spans="2:5" ht="10.5" customHeight="1" x14ac:dyDescent="0.15">
      <c r="B125" s="754"/>
      <c r="C125" s="796"/>
    </row>
    <row r="126" spans="2:5" ht="21.95" customHeight="1" x14ac:dyDescent="0.15">
      <c r="B126" s="754"/>
      <c r="C126" s="110" t="s">
        <v>363</v>
      </c>
    </row>
    <row r="127" spans="2:5" ht="21.95" customHeight="1" x14ac:dyDescent="0.15">
      <c r="B127" s="754"/>
    </row>
    <row r="128" spans="2:5" ht="21.95" customHeight="1" x14ac:dyDescent="0.15">
      <c r="B128" s="754"/>
    </row>
    <row r="129" spans="2:2" ht="21.95" customHeight="1" x14ac:dyDescent="0.15">
      <c r="B129" s="754"/>
    </row>
    <row r="130" spans="2:2" ht="21.95" customHeight="1" x14ac:dyDescent="0.15">
      <c r="B130" s="754"/>
    </row>
    <row r="131" spans="2:2" ht="21.95" customHeight="1" x14ac:dyDescent="0.15">
      <c r="B131" s="754"/>
    </row>
    <row r="132" spans="2:2" ht="21.95" customHeight="1" x14ac:dyDescent="0.15">
      <c r="B132" s="754"/>
    </row>
    <row r="133" spans="2:2" ht="21.95" customHeight="1" x14ac:dyDescent="0.15">
      <c r="B133" s="754"/>
    </row>
    <row r="134" spans="2:2" ht="21.95" customHeight="1" x14ac:dyDescent="0.15">
      <c r="B134" s="754"/>
    </row>
    <row r="135" spans="2:2" ht="21.95" customHeight="1" x14ac:dyDescent="0.15">
      <c r="B135" s="754"/>
    </row>
    <row r="136" spans="2:2" ht="21.95" customHeight="1" x14ac:dyDescent="0.15">
      <c r="B136" s="754"/>
    </row>
    <row r="137" spans="2:2" ht="21.95" customHeight="1" x14ac:dyDescent="0.15">
      <c r="B137" s="754"/>
    </row>
    <row r="138" spans="2:2" ht="21.95" customHeight="1" x14ac:dyDescent="0.15">
      <c r="B138" s="754"/>
    </row>
    <row r="139" spans="2:2" ht="21.95" customHeight="1" x14ac:dyDescent="0.15">
      <c r="B139" s="754"/>
    </row>
    <row r="140" spans="2:2" ht="21.95" customHeight="1" x14ac:dyDescent="0.15">
      <c r="B140" s="754"/>
    </row>
    <row r="141" spans="2:2" ht="21.95" customHeight="1" x14ac:dyDescent="0.15">
      <c r="B141" s="754"/>
    </row>
    <row r="142" spans="2:2" ht="21.95" customHeight="1" x14ac:dyDescent="0.15">
      <c r="B142" s="754"/>
    </row>
    <row r="143" spans="2:2" ht="21.95" customHeight="1" x14ac:dyDescent="0.15">
      <c r="B143" s="754"/>
    </row>
    <row r="144" spans="2:2" ht="21.95" customHeight="1" x14ac:dyDescent="0.15">
      <c r="B144" s="754"/>
    </row>
    <row r="145" spans="2:7" ht="21.95" customHeight="1" x14ac:dyDescent="0.15">
      <c r="B145" s="754"/>
    </row>
    <row r="146" spans="2:7" ht="21.95" customHeight="1" x14ac:dyDescent="0.15">
      <c r="B146" s="754"/>
    </row>
    <row r="147" spans="2:7" ht="21.95" customHeight="1" x14ac:dyDescent="0.15">
      <c r="B147" s="792" t="s">
        <v>180</v>
      </c>
      <c r="C147" s="794" t="s">
        <v>365</v>
      </c>
      <c r="D147" s="795"/>
      <c r="E147" s="795"/>
      <c r="F147" s="795"/>
      <c r="G147" s="795"/>
    </row>
    <row r="148" spans="2:7" ht="21.95" customHeight="1" x14ac:dyDescent="0.15">
      <c r="C148" s="110" t="s">
        <v>385</v>
      </c>
    </row>
    <row r="149" spans="2:7" ht="21.95" customHeight="1" x14ac:dyDescent="0.15">
      <c r="D149" s="110" t="s">
        <v>190</v>
      </c>
    </row>
    <row r="150" spans="2:7" ht="21.95" customHeight="1" x14ac:dyDescent="0.15">
      <c r="D150" s="110" t="s">
        <v>191</v>
      </c>
    </row>
    <row r="151" spans="2:7" ht="21.95" customHeight="1" x14ac:dyDescent="0.15">
      <c r="G151">
        <v>0</v>
      </c>
    </row>
    <row r="152" spans="2:7" ht="21.95" customHeight="1" x14ac:dyDescent="0.15"/>
    <row r="153" spans="2:7" ht="21.95" customHeight="1" x14ac:dyDescent="0.15"/>
    <row r="154" spans="2:7" ht="21.95" customHeight="1" x14ac:dyDescent="0.15"/>
    <row r="155" spans="2:7" ht="21.95" customHeight="1" x14ac:dyDescent="0.15"/>
    <row r="156" spans="2:7" ht="21.95" customHeight="1" x14ac:dyDescent="0.15"/>
    <row r="157" spans="2:7" ht="21.95" customHeight="1" x14ac:dyDescent="0.15"/>
    <row r="158" spans="2:7" ht="21.95" customHeight="1" x14ac:dyDescent="0.15"/>
    <row r="159" spans="2:7" ht="21.95" customHeight="1" x14ac:dyDescent="0.15"/>
    <row r="160" spans="2:7" ht="21.95" customHeight="1" x14ac:dyDescent="0.15"/>
    <row r="161" spans="2:17" ht="21.95" customHeight="1" x14ac:dyDescent="0.15"/>
    <row r="162" spans="2:17" ht="21.95" customHeight="1" x14ac:dyDescent="0.15"/>
    <row r="163" spans="2:17" ht="21.95" customHeight="1" x14ac:dyDescent="0.15"/>
    <row r="164" spans="2:17" ht="21.95" customHeight="1" x14ac:dyDescent="0.15"/>
    <row r="165" spans="2:17" ht="21.95" customHeight="1" x14ac:dyDescent="0.15"/>
    <row r="166" spans="2:17" ht="21.95" customHeight="1" x14ac:dyDescent="0.15"/>
    <row r="167" spans="2:17" ht="21.95" customHeight="1" x14ac:dyDescent="0.15"/>
    <row r="168" spans="2:17" ht="21.95" customHeight="1" x14ac:dyDescent="0.15"/>
    <row r="169" spans="2:17" ht="21.95" customHeight="1" x14ac:dyDescent="0.15"/>
    <row r="170" spans="2:17" ht="21.95" customHeight="1" x14ac:dyDescent="0.15"/>
    <row r="171" spans="2:17" ht="21.95" customHeight="1" x14ac:dyDescent="0.15"/>
    <row r="172" spans="2:17" ht="21.95" customHeight="1" x14ac:dyDescent="0.15">
      <c r="P172" s="377"/>
      <c r="Q172" s="377" t="s">
        <v>387</v>
      </c>
    </row>
    <row r="173" spans="2:17" ht="21.95" customHeight="1" x14ac:dyDescent="0.15">
      <c r="B173" s="792" t="s">
        <v>180</v>
      </c>
      <c r="C173" s="797" t="s">
        <v>366</v>
      </c>
      <c r="D173" s="798"/>
      <c r="E173" s="798"/>
      <c r="F173" s="798"/>
    </row>
    <row r="174" spans="2:17" ht="21.95" customHeight="1" x14ac:dyDescent="0.15">
      <c r="C174" s="110" t="s">
        <v>383</v>
      </c>
    </row>
    <row r="175" spans="2:17" ht="21.95" customHeight="1" x14ac:dyDescent="0.15"/>
    <row r="176" spans="2:17" ht="21.95" customHeight="1" x14ac:dyDescent="0.15"/>
    <row r="177" spans="2:2" ht="21.95" customHeight="1" x14ac:dyDescent="0.15"/>
    <row r="178" spans="2:2" ht="21.95" customHeight="1" x14ac:dyDescent="0.15"/>
    <row r="179" spans="2:2" ht="21.95" customHeight="1" x14ac:dyDescent="0.15"/>
    <row r="180" spans="2:2" ht="21.95" customHeight="1" x14ac:dyDescent="0.15"/>
    <row r="181" spans="2:2" ht="21.95" customHeight="1" x14ac:dyDescent="0.15"/>
    <row r="182" spans="2:2" ht="21.95" customHeight="1" x14ac:dyDescent="0.15"/>
    <row r="183" spans="2:2" ht="21.95" customHeight="1" x14ac:dyDescent="0.15"/>
    <row r="184" spans="2:2" ht="21.95" customHeight="1" x14ac:dyDescent="0.15"/>
    <row r="185" spans="2:2" ht="21.95" customHeight="1" x14ac:dyDescent="0.15"/>
    <row r="186" spans="2:2" ht="21.95" customHeight="1" x14ac:dyDescent="0.15"/>
    <row r="187" spans="2:2" ht="21.95" customHeight="1" x14ac:dyDescent="0.15"/>
    <row r="188" spans="2:2" ht="21.95" customHeight="1" x14ac:dyDescent="0.15">
      <c r="B188" s="754"/>
    </row>
    <row r="189" spans="2:2" ht="21.95" customHeight="1" x14ac:dyDescent="0.15">
      <c r="B189" s="754"/>
    </row>
    <row r="190" spans="2:2" ht="21.95" customHeight="1" x14ac:dyDescent="0.15">
      <c r="B190" s="754"/>
    </row>
    <row r="191" spans="2:2" ht="21.95" customHeight="1" x14ac:dyDescent="0.15">
      <c r="B191" s="754"/>
    </row>
    <row r="192" spans="2:2" ht="21.95" customHeight="1" x14ac:dyDescent="0.15">
      <c r="B192" s="754"/>
    </row>
    <row r="193" spans="2:7" ht="21.95" customHeight="1" x14ac:dyDescent="0.15">
      <c r="B193" s="754"/>
    </row>
    <row r="194" spans="2:7" ht="21.95" customHeight="1" x14ac:dyDescent="0.15">
      <c r="B194" s="754"/>
    </row>
    <row r="195" spans="2:7" ht="21.95" customHeight="1" x14ac:dyDescent="0.15">
      <c r="B195" s="754"/>
    </row>
    <row r="196" spans="2:7" ht="21.95" customHeight="1" x14ac:dyDescent="0.15">
      <c r="B196" s="754"/>
    </row>
    <row r="197" spans="2:7" ht="21.95" customHeight="1" x14ac:dyDescent="0.15">
      <c r="B197" s="792" t="s">
        <v>180</v>
      </c>
      <c r="C197" s="797" t="s">
        <v>382</v>
      </c>
      <c r="D197" s="798"/>
      <c r="E197" s="798"/>
      <c r="F197" s="798"/>
      <c r="G197" s="798"/>
    </row>
    <row r="198" spans="2:7" ht="21.95" customHeight="1" x14ac:dyDescent="0.15">
      <c r="B198" s="754"/>
      <c r="C198" s="110" t="s">
        <v>386</v>
      </c>
    </row>
    <row r="199" spans="2:7" ht="21.95" customHeight="1" x14ac:dyDescent="0.15">
      <c r="B199" s="754"/>
      <c r="D199" s="110" t="s">
        <v>190</v>
      </c>
    </row>
    <row r="200" spans="2:7" ht="21.95" customHeight="1" x14ac:dyDescent="0.15">
      <c r="B200" s="754"/>
      <c r="D200" s="110" t="s">
        <v>191</v>
      </c>
    </row>
    <row r="201" spans="2:7" ht="21.95" customHeight="1" x14ac:dyDescent="0.15">
      <c r="B201" s="754"/>
    </row>
    <row r="202" spans="2:7" ht="21.95" customHeight="1" x14ac:dyDescent="0.15">
      <c r="B202" s="754"/>
    </row>
    <row r="203" spans="2:7" ht="21.95" customHeight="1" x14ac:dyDescent="0.15">
      <c r="B203" s="754"/>
    </row>
    <row r="204" spans="2:7" ht="21.95" customHeight="1" x14ac:dyDescent="0.15">
      <c r="B204" s="754"/>
    </row>
    <row r="205" spans="2:7" ht="21.95" customHeight="1" x14ac:dyDescent="0.15">
      <c r="B205" s="754"/>
    </row>
    <row r="206" spans="2:7" ht="21.95" customHeight="1" x14ac:dyDescent="0.15">
      <c r="B206" s="754"/>
    </row>
    <row r="207" spans="2:7" ht="21.95" customHeight="1" x14ac:dyDescent="0.15">
      <c r="B207" s="754"/>
    </row>
    <row r="208" spans="2:7" ht="21.95" customHeight="1" x14ac:dyDescent="0.15">
      <c r="B208" s="754"/>
    </row>
    <row r="209" spans="2:15" ht="21.95" customHeight="1" x14ac:dyDescent="0.15">
      <c r="B209" s="754"/>
    </row>
    <row r="210" spans="2:15" ht="21.95" customHeight="1" x14ac:dyDescent="0.15">
      <c r="B210" s="754"/>
    </row>
    <row r="211" spans="2:15" ht="21.95" customHeight="1" x14ac:dyDescent="0.15">
      <c r="B211" s="754"/>
    </row>
    <row r="212" spans="2:15" ht="21.95" customHeight="1" x14ac:dyDescent="0.15">
      <c r="B212" s="754"/>
    </row>
    <row r="213" spans="2:15" ht="21.95" customHeight="1" x14ac:dyDescent="0.15">
      <c r="B213" s="754"/>
    </row>
    <row r="214" spans="2:15" ht="21.95" customHeight="1" x14ac:dyDescent="0.15">
      <c r="B214" s="754"/>
    </row>
    <row r="215" spans="2:15" ht="21.95" customHeight="1" x14ac:dyDescent="0.15">
      <c r="B215" s="754"/>
    </row>
    <row r="216" spans="2:15" ht="21.95" customHeight="1" x14ac:dyDescent="0.15">
      <c r="B216" s="754"/>
    </row>
    <row r="217" spans="2:15" ht="21.95" customHeight="1" x14ac:dyDescent="0.15">
      <c r="B217" s="754"/>
    </row>
    <row r="218" spans="2:15" ht="21.95" customHeight="1" x14ac:dyDescent="0.15">
      <c r="B218" s="754"/>
    </row>
    <row r="219" spans="2:15" ht="21.95" customHeight="1" x14ac:dyDescent="0.15">
      <c r="B219" s="754"/>
    </row>
    <row r="220" spans="2:15" ht="21.95" customHeight="1" x14ac:dyDescent="0.15">
      <c r="B220" s="754"/>
    </row>
    <row r="221" spans="2:15" ht="21.95" customHeight="1" x14ac:dyDescent="0.15">
      <c r="B221" s="754"/>
    </row>
    <row r="222" spans="2:15" ht="21.95" customHeight="1" x14ac:dyDescent="0.15">
      <c r="B222" s="754"/>
    </row>
    <row r="223" spans="2:15" ht="21.95" customHeight="1" x14ac:dyDescent="0.15">
      <c r="B223" s="754"/>
    </row>
    <row r="224" spans="2:15" ht="21.95" customHeight="1" x14ac:dyDescent="0.15">
      <c r="B224" s="754"/>
      <c r="O224" s="377" t="s">
        <v>387</v>
      </c>
    </row>
    <row r="225" spans="2:9" ht="21.95" customHeight="1" x14ac:dyDescent="0.15">
      <c r="B225" s="754"/>
    </row>
    <row r="226" spans="2:9" ht="21" customHeight="1" x14ac:dyDescent="0.15">
      <c r="B226" s="792" t="s">
        <v>180</v>
      </c>
      <c r="C226" s="799" t="s">
        <v>372</v>
      </c>
      <c r="D226" s="800"/>
      <c r="E226" s="800"/>
      <c r="F226" s="800"/>
    </row>
    <row r="227" spans="2:9" ht="21" customHeight="1" x14ac:dyDescent="0.15">
      <c r="B227" s="754"/>
    </row>
    <row r="228" spans="2:9" ht="21" customHeight="1" x14ac:dyDescent="0.15">
      <c r="B228" s="792" t="s">
        <v>180</v>
      </c>
      <c r="C228" s="799" t="s">
        <v>368</v>
      </c>
      <c r="D228" s="800"/>
      <c r="E228" s="800"/>
    </row>
    <row r="229" spans="2:9" ht="21" customHeight="1" x14ac:dyDescent="0.15"/>
    <row r="230" spans="2:9" ht="21" customHeight="1" x14ac:dyDescent="0.15">
      <c r="B230" s="792" t="s">
        <v>180</v>
      </c>
      <c r="C230" s="801" t="s">
        <v>371</v>
      </c>
      <c r="D230" s="802"/>
      <c r="E230" s="802"/>
      <c r="F230" t="s">
        <v>375</v>
      </c>
    </row>
    <row r="231" spans="2:9" ht="21" customHeight="1" x14ac:dyDescent="0.15"/>
    <row r="232" spans="2:9" ht="21" customHeight="1" x14ac:dyDescent="0.15">
      <c r="B232" s="792" t="s">
        <v>180</v>
      </c>
      <c r="C232" s="801" t="s">
        <v>369</v>
      </c>
      <c r="D232" s="802"/>
      <c r="E232" s="802"/>
      <c r="F232" t="s">
        <v>375</v>
      </c>
    </row>
    <row r="233" spans="2:9" ht="21" customHeight="1" x14ac:dyDescent="0.15"/>
    <row r="234" spans="2:9" ht="21" customHeight="1" x14ac:dyDescent="0.15">
      <c r="B234" s="792" t="s">
        <v>180</v>
      </c>
      <c r="C234" s="803" t="s">
        <v>370</v>
      </c>
      <c r="D234" s="804"/>
      <c r="E234" s="804"/>
      <c r="F234" t="s">
        <v>376</v>
      </c>
    </row>
    <row r="235" spans="2:9" ht="21" customHeight="1" x14ac:dyDescent="0.15"/>
    <row r="236" spans="2:9" ht="21" customHeight="1" x14ac:dyDescent="0.15"/>
    <row r="237" spans="2:9" ht="21" customHeight="1" x14ac:dyDescent="0.15">
      <c r="D237" s="805" t="s">
        <v>264</v>
      </c>
      <c r="E237" s="806"/>
      <c r="F237" s="806"/>
      <c r="G237" s="806"/>
      <c r="H237" s="806"/>
      <c r="I237" s="806"/>
    </row>
  </sheetData>
  <mergeCells count="1">
    <mergeCell ref="C5:D5"/>
  </mergeCells>
  <phoneticPr fontId="3"/>
  <pageMargins left="0.70866141732283472" right="0.70866141732283472" top="0.74803149606299213" bottom="0.74803149606299213" header="0.31496062992125984" footer="0.31496062992125984"/>
  <pageSetup paperSize="9" scale="50" orientation="landscape" verticalDpi="0" r:id="rId1"/>
  <headerFooter>
    <oddFooter>&amp;C&amp;P</oddFooter>
  </headerFooter>
  <rowBreaks count="6" manualBreakCount="6">
    <brk id="30" min="1" max="29" man="1"/>
    <brk id="74" min="1" max="29" man="1"/>
    <brk id="99" min="1" max="29" man="1"/>
    <brk id="123" min="1" max="29" man="1"/>
    <brk id="146" min="1" max="29" man="1"/>
    <brk id="194" min="1" max="29"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F4325-0E81-40A6-B2F6-8196AA7CE3A7}">
  <sheetPr>
    <tabColor theme="0" tint="-0.34998626667073579"/>
    <pageSetUpPr autoPageBreaks="0"/>
  </sheetPr>
  <dimension ref="B1:W44"/>
  <sheetViews>
    <sheetView showGridLines="0" zoomScale="110" zoomScaleNormal="110" zoomScaleSheetLayoutView="80" workbookViewId="0">
      <selection activeCell="E2" sqref="E2"/>
    </sheetView>
  </sheetViews>
  <sheetFormatPr defaultRowHeight="14.25" x14ac:dyDescent="0.15"/>
  <cols>
    <col min="1" max="1" width="2.625" style="549" customWidth="1"/>
    <col min="2" max="2" width="6" style="549" customWidth="1"/>
    <col min="3" max="3" width="17.625" style="549" customWidth="1"/>
    <col min="4" max="4" width="9.375" style="549" hidden="1" customWidth="1"/>
    <col min="5" max="5" width="17.625" style="549" customWidth="1"/>
    <col min="6" max="6" width="11.875" style="549" customWidth="1"/>
    <col min="7" max="7" width="17.625" style="549" customWidth="1"/>
    <col min="8" max="8" width="9.625" style="549" customWidth="1"/>
    <col min="9" max="9" width="11.625" style="549" customWidth="1"/>
    <col min="10" max="10" width="14.625" style="549" customWidth="1"/>
    <col min="11" max="12" width="11.625" style="549" customWidth="1"/>
    <col min="13" max="13" width="14.75" style="549" customWidth="1"/>
    <col min="14" max="14" width="12.375" style="549" customWidth="1"/>
    <col min="15" max="20" width="14.625" style="549" customWidth="1"/>
    <col min="21" max="21" width="14" style="549" customWidth="1"/>
    <col min="22" max="22" width="14.75" style="549" customWidth="1"/>
    <col min="23" max="23" width="12" style="549" customWidth="1"/>
    <col min="24" max="16384" width="9" style="549"/>
  </cols>
  <sheetData>
    <row r="1" spans="2:23" s="548" customFormat="1" ht="12" thickBot="1" x14ac:dyDescent="0.2">
      <c r="C1" s="548">
        <v>1</v>
      </c>
      <c r="D1" s="548">
        <v>2</v>
      </c>
      <c r="E1" s="548">
        <v>3</v>
      </c>
      <c r="F1" s="548">
        <v>4</v>
      </c>
      <c r="G1" s="548">
        <v>5</v>
      </c>
      <c r="H1" s="548">
        <v>6</v>
      </c>
      <c r="I1" s="548">
        <v>7</v>
      </c>
      <c r="J1" s="548">
        <v>8</v>
      </c>
      <c r="K1" s="548">
        <v>9</v>
      </c>
      <c r="L1" s="548">
        <v>10</v>
      </c>
      <c r="M1" s="548">
        <v>11</v>
      </c>
      <c r="N1" s="548">
        <v>12</v>
      </c>
      <c r="O1" s="548">
        <v>13</v>
      </c>
      <c r="P1" s="548">
        <v>14</v>
      </c>
      <c r="Q1" s="548">
        <v>15</v>
      </c>
      <c r="R1" s="548">
        <v>16</v>
      </c>
      <c r="S1" s="548">
        <v>17</v>
      </c>
      <c r="T1" s="548">
        <v>18</v>
      </c>
      <c r="U1" s="548">
        <v>19</v>
      </c>
      <c r="V1" s="548">
        <v>20</v>
      </c>
      <c r="W1" s="548">
        <v>21</v>
      </c>
    </row>
    <row r="2" spans="2:23" ht="38.25" customHeight="1" thickBot="1" x14ac:dyDescent="0.25">
      <c r="C2" s="550"/>
      <c r="D2" s="551"/>
      <c r="M2" s="553">
        <f>IF('1-1.従業員データ給与改定案入力画面'!$N$2="","",IF(OR('1-1.従業員データ給与改定案入力画面'!$N$2=2,'1-1.従業員データ給与改定案入力画面'!$N$2=1),"",'1-1.従業員データ給与改定案入力画面'!$N$2))</f>
        <v>3</v>
      </c>
      <c r="N2" s="554"/>
    </row>
    <row r="3" spans="2:23" ht="19.5" customHeight="1" x14ac:dyDescent="0.15">
      <c r="E3" s="555"/>
      <c r="F3" s="555"/>
      <c r="G3" s="555"/>
      <c r="J3" s="554"/>
      <c r="K3" s="554"/>
      <c r="L3" s="554"/>
      <c r="O3" s="556"/>
    </row>
    <row r="4" spans="2:23" ht="24.95" customHeight="1" x14ac:dyDescent="0.15">
      <c r="C4" s="557" t="s">
        <v>79</v>
      </c>
      <c r="D4" s="644"/>
      <c r="E4" s="817">
        <f>IF('4-1.手当等支給メニュー'!$E$4="","",'4-1.手当等支給メニュー'!$E$4)</f>
        <v>102</v>
      </c>
      <c r="F4" s="818"/>
      <c r="G4" s="818"/>
      <c r="I4" s="558"/>
      <c r="J4" s="559"/>
      <c r="K4" s="559"/>
      <c r="L4" s="559"/>
      <c r="M4" s="1024" t="s">
        <v>255</v>
      </c>
      <c r="N4" s="1024" t="s">
        <v>256</v>
      </c>
      <c r="O4" s="1024" t="s">
        <v>257</v>
      </c>
      <c r="P4" s="1025" t="s">
        <v>163</v>
      </c>
      <c r="Q4" s="560"/>
      <c r="R4" s="560"/>
      <c r="S4" s="560"/>
      <c r="T4" s="560"/>
      <c r="U4" s="561"/>
    </row>
    <row r="5" spans="2:23" ht="30" customHeight="1" x14ac:dyDescent="0.15">
      <c r="C5" s="1025" t="s">
        <v>111</v>
      </c>
      <c r="D5" s="1025"/>
      <c r="E5" s="1025"/>
      <c r="F5" s="560"/>
      <c r="G5" s="560"/>
      <c r="I5" s="560"/>
      <c r="J5" s="559"/>
      <c r="K5" s="559"/>
      <c r="L5" s="559"/>
      <c r="M5" s="1024"/>
      <c r="N5" s="1024"/>
      <c r="O5" s="1024"/>
      <c r="P5" s="1025"/>
      <c r="Q5" s="560"/>
      <c r="R5" s="560"/>
      <c r="S5" s="560"/>
      <c r="T5" s="560"/>
      <c r="U5" s="561"/>
    </row>
    <row r="6" spans="2:23" ht="28.5" customHeight="1" x14ac:dyDescent="0.15">
      <c r="C6" s="562" t="str">
        <f>IF($E$4="","",VLOOKUP($E$4,'1-1.従業員データ給与改定案入力画面'!$C$10:$AL$1010,2,0))</f>
        <v>ＡＢ</v>
      </c>
      <c r="D6" s="644"/>
      <c r="E6" s="557" t="s">
        <v>32</v>
      </c>
      <c r="F6" s="560"/>
      <c r="G6" s="560"/>
      <c r="I6" s="560"/>
      <c r="J6" s="563"/>
      <c r="K6" s="563"/>
      <c r="L6" s="563"/>
      <c r="M6" s="564">
        <f>IF($E$4="","",VLOOKUP($E$4,'1-1.従業員データ給与改定案入力画面'!$C$10:$AL$1010,31,0)-VLOOKUP($E$4,'1-1.従業員データ給与改定案入力画面'!$C$10:$AL$1010,19,0))</f>
        <v>2000</v>
      </c>
      <c r="N6" s="564">
        <f>IF($E$4="","",VLOOKUP($E$4,'1-1.従業員データ給与改定案入力画面'!$C$10:$AL$1010,32,0)-VLOOKUP($E$4,'1-1.従業員データ給与改定案入力画面'!$C$10:$AL$1010,19,0))</f>
        <v>4000</v>
      </c>
      <c r="O6" s="564">
        <f>IF($E$4="","",VLOOKUP($E$4,'1-1.従業員データ給与改定案入力画面'!$C$10:$AL$1010,30,0)-VLOOKUP($E$4,'1-1.従業員データ給与改定案入力画面'!$C$10:$AL$1010,19,0))</f>
        <v>0</v>
      </c>
      <c r="P6" s="565">
        <f>IF($E$4="","",VLOOKUP($E$4,'1-1.従業員データ給与改定案入力画面'!$C$10:$AL$1010,36,0))</f>
        <v>0</v>
      </c>
      <c r="Q6" s="566"/>
      <c r="R6" s="566"/>
      <c r="S6" s="566"/>
      <c r="T6" s="566"/>
      <c r="U6" s="566"/>
    </row>
    <row r="7" spans="2:23" ht="21" customHeight="1" thickBot="1" x14ac:dyDescent="0.25">
      <c r="C7" s="567" t="s">
        <v>171</v>
      </c>
      <c r="D7" s="644"/>
      <c r="E7" s="562">
        <f>IF($E$4="","",VLOOKUP($E$4,'1-1.従業員データ給与改定案入力画面'!$C$10:$AL$1010,11,0))</f>
        <v>5</v>
      </c>
      <c r="F7" s="568"/>
      <c r="G7" s="819"/>
      <c r="I7" s="556"/>
      <c r="J7" s="555"/>
      <c r="K7" s="555"/>
      <c r="L7" s="555"/>
      <c r="M7" s="820"/>
    </row>
    <row r="8" spans="2:23" ht="21" customHeight="1" thickBot="1" x14ac:dyDescent="0.2">
      <c r="C8" s="567" t="s">
        <v>103</v>
      </c>
      <c r="D8" s="644"/>
      <c r="E8" s="562">
        <f>IF($E$4="","",VLOOKUP($E$4,'1-1.従業員データ給与改定案入力画面'!$C$10:$AL$1010,12,0))</f>
        <v>4</v>
      </c>
      <c r="F8" s="568"/>
      <c r="G8" s="568"/>
      <c r="H8" s="560"/>
      <c r="I8" s="569"/>
      <c r="J8" s="560"/>
      <c r="K8" s="555"/>
      <c r="L8" s="555"/>
      <c r="M8" s="1017" t="s">
        <v>300</v>
      </c>
      <c r="N8" s="1018"/>
      <c r="S8" s="1019" t="s">
        <v>109</v>
      </c>
      <c r="T8" s="1020"/>
      <c r="U8" s="1021"/>
    </row>
    <row r="9" spans="2:23" ht="21" customHeight="1" thickBot="1" x14ac:dyDescent="0.2">
      <c r="C9" s="567" t="s">
        <v>296</v>
      </c>
      <c r="D9" s="644"/>
      <c r="E9" s="570">
        <f>IF($E$4="","",VLOOKUP($E$4,'1-1.従業員データ給与改定案入力画面'!$C$10:$AL$1010,15,0))</f>
        <v>1000</v>
      </c>
      <c r="F9" s="569"/>
      <c r="G9" s="569"/>
      <c r="H9" s="560"/>
      <c r="I9" s="560"/>
      <c r="J9" s="821"/>
      <c r="K9" s="559"/>
      <c r="L9" s="559"/>
      <c r="M9" s="578">
        <v>1000000</v>
      </c>
      <c r="N9" s="822" t="s">
        <v>301</v>
      </c>
      <c r="S9" s="1022" t="s">
        <v>199</v>
      </c>
      <c r="T9" s="1023"/>
      <c r="U9" s="571">
        <f>IF('4-1.手当等支給メニュー'!$U$9="","",'4-1.手当等支給メニュー'!$U$9)</f>
        <v>1</v>
      </c>
      <c r="V9" s="572"/>
    </row>
    <row r="10" spans="2:23" ht="21" customHeight="1" x14ac:dyDescent="0.15">
      <c r="C10" s="645" t="s">
        <v>19</v>
      </c>
      <c r="E10" s="646">
        <f>IF($E$4="","",VLOOKUP($E$4,'1-1.従業員データ給与改定案入力画面'!$C$10:$AL$1010,7,0))</f>
        <v>26</v>
      </c>
      <c r="F10" s="568"/>
      <c r="G10" s="1030" t="s">
        <v>342</v>
      </c>
      <c r="H10" s="1031"/>
      <c r="I10" s="560"/>
      <c r="J10" s="823"/>
      <c r="K10" s="573"/>
      <c r="L10" s="573"/>
      <c r="M10" s="578">
        <v>1000000</v>
      </c>
      <c r="N10" s="824" t="s">
        <v>302</v>
      </c>
      <c r="S10" s="1022" t="s">
        <v>123</v>
      </c>
      <c r="T10" s="1034"/>
      <c r="U10" s="574">
        <f>IF('4-1.手当等支給メニュー'!$U$10="","",'4-1.手当等支給メニュー'!$U$10)</f>
        <v>1300000</v>
      </c>
      <c r="V10" s="572"/>
    </row>
    <row r="11" spans="2:23" ht="21" customHeight="1" thickBot="1" x14ac:dyDescent="0.2">
      <c r="C11" s="557" t="s">
        <v>148</v>
      </c>
      <c r="E11" s="562" t="str">
        <f>IF($E$4="","",VLOOKUP($E$4,'1-1.従業員データ給与改定案入力画面'!$C$10:$AL$1010,3,0))</f>
        <v>生駒市</v>
      </c>
      <c r="F11" s="568"/>
      <c r="G11" s="1032"/>
      <c r="H11" s="1033"/>
      <c r="I11" s="560"/>
      <c r="J11" s="823"/>
      <c r="M11" s="578">
        <v>1030000</v>
      </c>
      <c r="N11" s="825" t="s">
        <v>304</v>
      </c>
      <c r="S11" s="1035" t="s">
        <v>122</v>
      </c>
      <c r="T11" s="1036"/>
      <c r="U11" s="575">
        <f>IF('4-1.手当等支給メニュー'!$U$11="","",'4-1.手当等支給メニュー'!$U$11)</f>
        <v>30</v>
      </c>
      <c r="V11" s="572"/>
    </row>
    <row r="12" spans="2:23" ht="22.5" customHeight="1" thickBot="1" x14ac:dyDescent="0.2">
      <c r="C12" s="576" t="s">
        <v>297</v>
      </c>
      <c r="D12" s="560"/>
      <c r="E12" s="577"/>
      <c r="F12" s="577"/>
      <c r="G12" s="1037">
        <v>0.15</v>
      </c>
      <c r="H12" s="1038"/>
      <c r="I12" s="560"/>
      <c r="J12" s="823"/>
      <c r="K12" s="559"/>
      <c r="L12" s="559"/>
      <c r="M12" s="578">
        <v>1060000</v>
      </c>
      <c r="N12" s="579" t="s">
        <v>312</v>
      </c>
    </row>
    <row r="13" spans="2:23" s="559" customFormat="1" ht="29.25" customHeight="1" thickBot="1" x14ac:dyDescent="0.2">
      <c r="C13" s="562">
        <f>IF($E$4="","",VLOOKUP($E$4,'1-1.従業員データ給与改定案入力画面'!$C$10:$AL$1010,16,0))</f>
        <v>40</v>
      </c>
      <c r="D13" s="568"/>
      <c r="E13" s="580"/>
      <c r="F13" s="580"/>
      <c r="G13" s="580"/>
      <c r="J13" s="826"/>
      <c r="K13" s="581"/>
      <c r="L13" s="581"/>
      <c r="M13" s="578">
        <v>1300000</v>
      </c>
      <c r="N13" s="827" t="s">
        <v>303</v>
      </c>
      <c r="O13" s="582" t="s">
        <v>114</v>
      </c>
      <c r="Q13" s="1026" t="s">
        <v>323</v>
      </c>
      <c r="R13" s="1027"/>
      <c r="S13" s="1028" t="s">
        <v>323</v>
      </c>
      <c r="T13" s="1029"/>
    </row>
    <row r="14" spans="2:23" ht="53.25" customHeight="1" thickBot="1" x14ac:dyDescent="0.2">
      <c r="B14" s="583" t="s">
        <v>18</v>
      </c>
      <c r="C14" s="584" t="s">
        <v>298</v>
      </c>
      <c r="D14" s="585" t="s">
        <v>16</v>
      </c>
      <c r="E14" s="586" t="s">
        <v>321</v>
      </c>
      <c r="F14" s="587" t="s">
        <v>16</v>
      </c>
      <c r="G14" s="588" t="s">
        <v>320</v>
      </c>
      <c r="H14" s="589" t="s">
        <v>16</v>
      </c>
      <c r="I14" s="590" t="s">
        <v>324</v>
      </c>
      <c r="J14" s="590" t="s">
        <v>172</v>
      </c>
      <c r="K14" s="591" t="s">
        <v>107</v>
      </c>
      <c r="L14" s="592" t="s">
        <v>322</v>
      </c>
      <c r="M14" s="593" t="s">
        <v>299</v>
      </c>
      <c r="N14" s="594" t="s">
        <v>259</v>
      </c>
      <c r="O14" s="595" t="s">
        <v>258</v>
      </c>
      <c r="P14" s="596" t="s">
        <v>17</v>
      </c>
      <c r="Q14" s="597" t="s">
        <v>16</v>
      </c>
      <c r="R14" s="598" t="s">
        <v>16</v>
      </c>
      <c r="S14" s="595" t="s">
        <v>258</v>
      </c>
      <c r="T14" s="595" t="s">
        <v>17</v>
      </c>
      <c r="U14" s="599" t="s">
        <v>164</v>
      </c>
      <c r="V14" s="600" t="s">
        <v>166</v>
      </c>
      <c r="W14" s="601" t="s">
        <v>241</v>
      </c>
    </row>
    <row r="15" spans="2:23" ht="21.95" customHeight="1" thickBot="1" x14ac:dyDescent="0.2">
      <c r="B15" s="602">
        <v>1</v>
      </c>
      <c r="C15" s="603">
        <f t="shared" ref="C15:C44" si="0">IF($E$4="",0,IF($H15="","",$E$9+$C$13))</f>
        <v>1040</v>
      </c>
      <c r="D15" s="604">
        <f t="shared" ref="D15:D44" si="1">IF($E$4="","",IF($K15&gt;=88000,88,""))</f>
        <v>88</v>
      </c>
      <c r="E15" s="605">
        <f>IF($E$4="","",IF(AND($I15&gt;=20,$D15=88,'4-1.参照シートー１'!$R15&lt;=104000),($P15+$V15)*$G$12,0))</f>
        <v>14700</v>
      </c>
      <c r="F15" s="647">
        <f>IF('4-1.参照シートー１'!$G15="","",'4-1.参照シートー１'!$G15)</f>
        <v>0</v>
      </c>
      <c r="G15" s="605">
        <f>IF($E$4="","",IF(AND($I15&gt;=20,$D15=88,'4-1.参照シートー１'!$R15&gt;104000),($R15+$V15)*$G$12,0))</f>
        <v>0</v>
      </c>
      <c r="H15" s="606">
        <v>0</v>
      </c>
      <c r="I15" s="607">
        <f>IF($E$4="","",$E$7*$E$8)</f>
        <v>20</v>
      </c>
      <c r="J15" s="608">
        <f t="shared" ref="J15:J44" si="2">IF($E$7="","",IF($I15="","",$I15*365/7))</f>
        <v>1042.8571428571429</v>
      </c>
      <c r="K15" s="609">
        <f>IF($E$4="","",IF($J15="",0,$C15*$J15/12))</f>
        <v>90380.952380952382</v>
      </c>
      <c r="L15" s="610">
        <f>IF($E$4="","",$K15+$E15+$F15)</f>
        <v>105080.95238095238</v>
      </c>
      <c r="M15" s="611">
        <f>IF($E$4="",0,IF($L15=0,0,$L15+$M$6))</f>
        <v>107080.95238095238</v>
      </c>
      <c r="N15" s="612">
        <f>IF($E$4="",0,IF($M15=0,0,$M15*12+$P$6))</f>
        <v>1284971.4285714286</v>
      </c>
      <c r="O15" s="613">
        <f>IF($E$4="",0,IF($K15=0,0,$K15+$N$6))</f>
        <v>94380.952380952382</v>
      </c>
      <c r="P15" s="614">
        <f>IF($E$4="",0,IF($O15=0,0,VLOOKUP($O15,'3-1.標準報酬月額・保険料表'!$N$8:$O$57,2,TRUE)))</f>
        <v>98000</v>
      </c>
      <c r="Q15" s="615">
        <f>IF($E$4="",0,IF($L15=0,0,$L15+$N$6-$E15))</f>
        <v>94380.952380952382</v>
      </c>
      <c r="R15" s="616">
        <f>IF($E$4="",0,IF($Q15=0,0,VLOOKUP($Q15,'3-1.標準報酬月額・保険料表'!$N$8:$O$57,2,TRUE)))</f>
        <v>98000</v>
      </c>
      <c r="S15" s="613">
        <f>IF($E$4="",0,IF($K15=0,0,$K15+$N$6+$G15))</f>
        <v>94380.952380952382</v>
      </c>
      <c r="T15" s="617">
        <f>IF($E$4="",0,IF($S15=0,0,VLOOKUP($S15,'3-1.標準報酬月額・保険料表'!$N$8:$O$57,2,TRUE)))</f>
        <v>98000</v>
      </c>
      <c r="U15" s="618">
        <f t="shared" ref="U15:U44" si="3">IF($E$4="",0,ROUNDDOWN($P$6,-3))</f>
        <v>0</v>
      </c>
      <c r="V15" s="619">
        <f t="shared" ref="V15:V44" si="4">IF($E$4="",0,ROUND($U15/12,0))</f>
        <v>0</v>
      </c>
      <c r="W15" s="620">
        <f t="shared" ref="W15:W44" si="5">IF($E$4="","",IF($K15="",0,$K15+$O$6))</f>
        <v>90380.952380952382</v>
      </c>
    </row>
    <row r="16" spans="2:23" ht="21.95" customHeight="1" x14ac:dyDescent="0.15">
      <c r="B16" s="602">
        <v>2</v>
      </c>
      <c r="C16" s="621">
        <f t="shared" si="0"/>
        <v>1040</v>
      </c>
      <c r="D16" s="622">
        <f t="shared" si="1"/>
        <v>88</v>
      </c>
      <c r="E16" s="605">
        <f>IF($E$4="","",IF(AND($I16&gt;=20,$D16=88,'4-1.参照シートー１'!$R16&lt;=104000),($P16+$V16)*$G$12,0))</f>
        <v>14700</v>
      </c>
      <c r="F16" s="647">
        <f>IF('4-1.参照シートー１'!$G16="","",'4-1.参照シートー１'!$G16)</f>
        <v>0</v>
      </c>
      <c r="G16" s="605">
        <f>IF($E$4="","",IF(AND($I16&gt;=20,$D16=88,'4-1.参照シートー１'!$R16&gt;104000),($R16+$V16)*$G$12,0))</f>
        <v>0</v>
      </c>
      <c r="H16" s="623">
        <f>IF($I15&gt;=39,"",$H15+1)</f>
        <v>1</v>
      </c>
      <c r="I16" s="624">
        <f>IF($H16="","",IF($I$15+$H16&gt;39,"",$I$15+$H16))</f>
        <v>21</v>
      </c>
      <c r="J16" s="610">
        <f t="shared" si="2"/>
        <v>1095</v>
      </c>
      <c r="K16" s="609">
        <f>IF($E$4="","",IF($J16="",0,$C16*$J16/12))</f>
        <v>94900</v>
      </c>
      <c r="L16" s="610">
        <f>IF($E$4="","",$K16+$E16+$F16)</f>
        <v>109600</v>
      </c>
      <c r="M16" s="625">
        <f>IF($E$4="",0,IF($L16=0,0,$L16+$M$6))</f>
        <v>111600</v>
      </c>
      <c r="N16" s="612">
        <f t="shared" ref="N16:N44" si="6">IF($E$4="",0,IF($M16=0,0,$M16*12+$P$6))</f>
        <v>1339200</v>
      </c>
      <c r="O16" s="626">
        <f t="shared" ref="O16:O44" si="7">IF($E$4="",0,IF($K16=0,0,$K16+$N$6))</f>
        <v>98900</v>
      </c>
      <c r="P16" s="614">
        <f>IF($E$4="",0,IF($O16=0,0,VLOOKUP($O16,'3-1.標準報酬月額・保険料表'!$N$8:$O$57,2,TRUE)))</f>
        <v>98000</v>
      </c>
      <c r="Q16" s="627">
        <f t="shared" ref="Q16:Q44" si="8">IF($E$4="",0,IF($L16=0,0,$L16+$N$6-$E16))</f>
        <v>98900</v>
      </c>
      <c r="R16" s="628">
        <f>IF($E$4="",0,IF($Q16=0,0,VLOOKUP($Q16,'3-1.標準報酬月額・保険料表'!$N$8:$O$57,2,TRUE)))</f>
        <v>98000</v>
      </c>
      <c r="S16" s="613">
        <f t="shared" ref="S16:S44" si="9">IF($E$4="",0,IF($K16=0,0,$K16+$N$6+$G16))</f>
        <v>98900</v>
      </c>
      <c r="T16" s="617">
        <f>IF($E$4="",0,IF($S16=0,0,VLOOKUP($S16,'3-1.標準報酬月額・保険料表'!$N$8:$O$57,2,TRUE)))</f>
        <v>98000</v>
      </c>
      <c r="U16" s="629">
        <f t="shared" si="3"/>
        <v>0</v>
      </c>
      <c r="V16" s="619">
        <f t="shared" si="4"/>
        <v>0</v>
      </c>
      <c r="W16" s="620">
        <f t="shared" si="5"/>
        <v>94900</v>
      </c>
    </row>
    <row r="17" spans="2:23" ht="21.95" customHeight="1" x14ac:dyDescent="0.15">
      <c r="B17" s="602">
        <v>3</v>
      </c>
      <c r="C17" s="621">
        <f t="shared" si="0"/>
        <v>1040</v>
      </c>
      <c r="D17" s="630">
        <f t="shared" si="1"/>
        <v>88</v>
      </c>
      <c r="E17" s="605">
        <f>IF($E$4="","",IF(AND($I17&gt;=20,$D17=88,'4-1.参照シートー１'!$R17&lt;=104000),($P17+$V17)*$G$12,0))</f>
        <v>15600</v>
      </c>
      <c r="F17" s="647">
        <f>IF('4-1.参照シートー１'!$G17="","",'4-1.参照シートー１'!$G17)</f>
        <v>0</v>
      </c>
      <c r="G17" s="605">
        <f>IF($E$4="","",IF(AND($I17&gt;=20,$D17=88,'4-1.参照シートー１'!$R17&gt;104000),($R17+$V17)*$G$12,0))</f>
        <v>0</v>
      </c>
      <c r="H17" s="631">
        <f t="shared" ref="H17:H44" si="10">IF($I16&gt;=39,"",$H16+1)</f>
        <v>2</v>
      </c>
      <c r="I17" s="632">
        <f t="shared" ref="I17:I44" si="11">IF($H17="","",IF($I$15+$H17&gt;39,"",$I$15+$H17))</f>
        <v>22</v>
      </c>
      <c r="J17" s="610">
        <f t="shared" si="2"/>
        <v>1147.1428571428571</v>
      </c>
      <c r="K17" s="609">
        <f t="shared" ref="K17:K44" si="12">IF($E$4="","",IF($J17="",0,$C17*$J17/12))</f>
        <v>99419.047619047618</v>
      </c>
      <c r="L17" s="610">
        <f t="shared" ref="L17:L44" si="13">IF($E$4="","",$K17+$E17+$F17)</f>
        <v>115019.04761904762</v>
      </c>
      <c r="M17" s="625">
        <f t="shared" ref="M17:M44" si="14">IF($E$4="",0,IF($L17=0,0,$L17+$M$6))</f>
        <v>117019.04761904762</v>
      </c>
      <c r="N17" s="612">
        <f t="shared" si="6"/>
        <v>1404228.5714285714</v>
      </c>
      <c r="O17" s="626">
        <f>IF($E$4="",0,IF($K17=0,0,$K17+$N$6))</f>
        <v>103419.04761904762</v>
      </c>
      <c r="P17" s="614">
        <f>IF($E$4="",0,IF($O17=0,0,VLOOKUP($O17,'3-1.標準報酬月額・保険料表'!$N$8:$O$57,2,TRUE)))</f>
        <v>104000</v>
      </c>
      <c r="Q17" s="627">
        <f t="shared" si="8"/>
        <v>103419.04761904762</v>
      </c>
      <c r="R17" s="628">
        <f>IF($E$4="",0,IF($Q17=0,0,VLOOKUP($Q17,'3-1.標準報酬月額・保険料表'!$N$8:$O$57,2,TRUE)))</f>
        <v>104000</v>
      </c>
      <c r="S17" s="613">
        <f t="shared" si="9"/>
        <v>103419.04761904762</v>
      </c>
      <c r="T17" s="617">
        <f>IF($E$4="",0,IF($S17=0,0,VLOOKUP($S17,'3-1.標準報酬月額・保険料表'!$N$8:$O$57,2,TRUE)))</f>
        <v>104000</v>
      </c>
      <c r="U17" s="629">
        <f t="shared" si="3"/>
        <v>0</v>
      </c>
      <c r="V17" s="619">
        <f t="shared" si="4"/>
        <v>0</v>
      </c>
      <c r="W17" s="620">
        <f t="shared" si="5"/>
        <v>99419.047619047618</v>
      </c>
    </row>
    <row r="18" spans="2:23" ht="21.95" customHeight="1" x14ac:dyDescent="0.15">
      <c r="B18" s="602">
        <v>4</v>
      </c>
      <c r="C18" s="621">
        <f t="shared" si="0"/>
        <v>1040</v>
      </c>
      <c r="D18" s="630">
        <f t="shared" si="1"/>
        <v>88</v>
      </c>
      <c r="E18" s="605">
        <f>IF($E$4="","",IF(AND($I18&gt;=20,$D18=88,'4-1.参照シートー１'!$R18&lt;=104000),($P18+$V18)*$G$12,0))</f>
        <v>0</v>
      </c>
      <c r="F18" s="647">
        <f>IF('4-1.参照シートー１'!$G18="","",'4-1.参照シートー１'!$G18)</f>
        <v>18900</v>
      </c>
      <c r="G18" s="605">
        <f>IF($E$4="","",IF(AND($I18&gt;=20,$D18=88,'4-1.参照シートー１'!$R18&gt;104000),($R18+$V18)*$G$12,0))</f>
        <v>18900</v>
      </c>
      <c r="H18" s="631">
        <f t="shared" si="10"/>
        <v>3</v>
      </c>
      <c r="I18" s="632">
        <f t="shared" si="11"/>
        <v>23</v>
      </c>
      <c r="J18" s="610">
        <f t="shared" si="2"/>
        <v>1199.2857142857142</v>
      </c>
      <c r="K18" s="609">
        <f t="shared" si="12"/>
        <v>103938.09523809522</v>
      </c>
      <c r="L18" s="610">
        <f>IF($E$4="","",$K18+$E18+$F18)</f>
        <v>122838.09523809522</v>
      </c>
      <c r="M18" s="625">
        <f>IF($E$4="",0,IF($L18=0,0,$L18+$M$6))</f>
        <v>124838.09523809522</v>
      </c>
      <c r="N18" s="612">
        <f t="shared" si="6"/>
        <v>1498057.1428571427</v>
      </c>
      <c r="O18" s="626">
        <f t="shared" si="7"/>
        <v>107938.09523809522</v>
      </c>
      <c r="P18" s="614">
        <f>IF($E$4="",0,IF($O18=0,0,VLOOKUP($O18,'3-1.標準報酬月額・保険料表'!$N$8:$O$57,2,TRUE)))</f>
        <v>110000</v>
      </c>
      <c r="Q18" s="627">
        <f>IF($E$4="",0,IF($L18=0,0,$L18+$N$6-$E18))</f>
        <v>126838.09523809522</v>
      </c>
      <c r="R18" s="628">
        <f>IF($E$4="",0,IF($Q18=0,0,VLOOKUP($Q18,'3-1.標準報酬月額・保険料表'!$N$8:$O$57,2,TRUE)))</f>
        <v>126000</v>
      </c>
      <c r="S18" s="613">
        <f t="shared" si="9"/>
        <v>126838.09523809522</v>
      </c>
      <c r="T18" s="617">
        <f>IF($E$4="",0,IF($S18=0,0,VLOOKUP($S18,'3-1.標準報酬月額・保険料表'!$N$8:$O$57,2,TRUE)))</f>
        <v>126000</v>
      </c>
      <c r="U18" s="629">
        <f t="shared" si="3"/>
        <v>0</v>
      </c>
      <c r="V18" s="619">
        <f t="shared" si="4"/>
        <v>0</v>
      </c>
      <c r="W18" s="620">
        <f t="shared" si="5"/>
        <v>103938.09523809522</v>
      </c>
    </row>
    <row r="19" spans="2:23" ht="21.95" customHeight="1" x14ac:dyDescent="0.15">
      <c r="B19" s="602">
        <v>5</v>
      </c>
      <c r="C19" s="621">
        <f t="shared" si="0"/>
        <v>1040</v>
      </c>
      <c r="D19" s="630">
        <f t="shared" si="1"/>
        <v>88</v>
      </c>
      <c r="E19" s="605">
        <f>IF($E$4="","",IF(AND($I19&gt;=20,$D19=88,'4-1.参照シートー１'!$R19&lt;=104000),($P19+$V19)*$G$12,0))</f>
        <v>0</v>
      </c>
      <c r="F19" s="647">
        <f>IF('4-1.参照シートー１'!$G19="","",'4-1.参照シートー１'!$G19)</f>
        <v>18900</v>
      </c>
      <c r="G19" s="605">
        <f>IF($E$4="","",IF(AND($I19&gt;=20,$D19=88,'4-1.参照シートー１'!$R19&gt;104000),($R19+$V19)*$G$12,0))</f>
        <v>20100</v>
      </c>
      <c r="H19" s="631">
        <f t="shared" si="10"/>
        <v>4</v>
      </c>
      <c r="I19" s="632">
        <f t="shared" si="11"/>
        <v>24</v>
      </c>
      <c r="J19" s="610">
        <f t="shared" si="2"/>
        <v>1251.4285714285713</v>
      </c>
      <c r="K19" s="609">
        <f t="shared" si="12"/>
        <v>108457.14285714284</v>
      </c>
      <c r="L19" s="610">
        <f t="shared" si="13"/>
        <v>127357.14285714284</v>
      </c>
      <c r="M19" s="625">
        <f t="shared" si="14"/>
        <v>129357.14285714284</v>
      </c>
      <c r="N19" s="612">
        <f t="shared" si="6"/>
        <v>1552285.7142857141</v>
      </c>
      <c r="O19" s="626">
        <f t="shared" si="7"/>
        <v>112457.14285714284</v>
      </c>
      <c r="P19" s="614">
        <f>IF($E$4="",0,IF($O19=0,0,VLOOKUP($O19,'3-1.標準報酬月額・保険料表'!$N$8:$O$57,2,TRUE)))</f>
        <v>110000</v>
      </c>
      <c r="Q19" s="627">
        <f t="shared" si="8"/>
        <v>131357.14285714284</v>
      </c>
      <c r="R19" s="628">
        <f>IF($E$4="",0,IF($Q19=0,0,VLOOKUP($Q19,'3-1.標準報酬月額・保険料表'!$N$8:$O$57,2,TRUE)))</f>
        <v>134000</v>
      </c>
      <c r="S19" s="613">
        <f t="shared" si="9"/>
        <v>132557.14285714284</v>
      </c>
      <c r="T19" s="617">
        <f>IF($E$4="",0,IF($S19=0,0,VLOOKUP($S19,'3-1.標準報酬月額・保険料表'!$N$8:$O$57,2,TRUE)))</f>
        <v>134000</v>
      </c>
      <c r="U19" s="629">
        <f t="shared" si="3"/>
        <v>0</v>
      </c>
      <c r="V19" s="619">
        <f t="shared" si="4"/>
        <v>0</v>
      </c>
      <c r="W19" s="620">
        <f t="shared" si="5"/>
        <v>108457.14285714284</v>
      </c>
    </row>
    <row r="20" spans="2:23" ht="21.95" customHeight="1" x14ac:dyDescent="0.15">
      <c r="B20" s="602">
        <v>6</v>
      </c>
      <c r="C20" s="621">
        <f t="shared" si="0"/>
        <v>1040</v>
      </c>
      <c r="D20" s="630">
        <f t="shared" si="1"/>
        <v>88</v>
      </c>
      <c r="E20" s="605">
        <f>IF($E$4="","",IF(AND($I20&gt;=20,$D20=88,'4-1.参照シートー１'!$R20&lt;=104000),($P20+$V20)*$G$12,0))</f>
        <v>0</v>
      </c>
      <c r="F20" s="647">
        <f>IF('4-1.参照シートー１'!$G20="","",'4-1.参照シートー１'!$G20)</f>
        <v>20100</v>
      </c>
      <c r="G20" s="605">
        <f>IF($E$4="","",IF(AND($I20&gt;=20,$D20=88,'4-1.参照シートー１'!$R20&gt;104000),($R20+$V20)*$G$12,0))</f>
        <v>20100</v>
      </c>
      <c r="H20" s="631">
        <f t="shared" si="10"/>
        <v>5</v>
      </c>
      <c r="I20" s="632">
        <f t="shared" si="11"/>
        <v>25</v>
      </c>
      <c r="J20" s="610">
        <f t="shared" si="2"/>
        <v>1303.5714285714287</v>
      </c>
      <c r="K20" s="609">
        <f t="shared" si="12"/>
        <v>112976.19047619049</v>
      </c>
      <c r="L20" s="610">
        <f>IF($E$4="","",$K20+$E20+$F20)</f>
        <v>133076.19047619047</v>
      </c>
      <c r="M20" s="625">
        <f t="shared" si="14"/>
        <v>135076.19047619047</v>
      </c>
      <c r="N20" s="612">
        <f t="shared" si="6"/>
        <v>1620914.2857142857</v>
      </c>
      <c r="O20" s="626">
        <f t="shared" si="7"/>
        <v>116976.19047619049</v>
      </c>
      <c r="P20" s="614">
        <f>IF($E$4="",0,IF($O20=0,0,VLOOKUP($O20,'3-1.標準報酬月額・保険料表'!$N$8:$O$57,2,TRUE)))</f>
        <v>118000</v>
      </c>
      <c r="Q20" s="627">
        <f>IF($E$4="",0,IF($L20=0,0,$L20+$N$6-$E20))</f>
        <v>137076.19047619047</v>
      </c>
      <c r="R20" s="628">
        <f>IF($E$4="",0,IF($Q20=0,0,VLOOKUP($Q20,'3-1.標準報酬月額・保険料表'!$N$8:$O$57,2,TRUE)))</f>
        <v>134000</v>
      </c>
      <c r="S20" s="613">
        <f t="shared" si="9"/>
        <v>137076.19047619047</v>
      </c>
      <c r="T20" s="617">
        <f>IF($E$4="",0,IF($S20=0,0,VLOOKUP($S20,'3-1.標準報酬月額・保険料表'!$N$8:$O$57,2,TRUE)))</f>
        <v>134000</v>
      </c>
      <c r="U20" s="629">
        <f t="shared" si="3"/>
        <v>0</v>
      </c>
      <c r="V20" s="619">
        <f t="shared" si="4"/>
        <v>0</v>
      </c>
      <c r="W20" s="620">
        <f t="shared" si="5"/>
        <v>112976.19047619049</v>
      </c>
    </row>
    <row r="21" spans="2:23" ht="21.95" customHeight="1" x14ac:dyDescent="0.15">
      <c r="B21" s="602">
        <v>7</v>
      </c>
      <c r="C21" s="621">
        <f t="shared" si="0"/>
        <v>1040</v>
      </c>
      <c r="D21" s="630">
        <f t="shared" si="1"/>
        <v>88</v>
      </c>
      <c r="E21" s="605">
        <f>IF($E$4="","",IF(AND($I21&gt;=20,$D21=88,'4-1.参照シートー１'!$R21&lt;=104000),($P21+$V21)*$G$12,0))</f>
        <v>0</v>
      </c>
      <c r="F21" s="648">
        <f>IF('4-1.参照シートー１'!$G21="","",'4-1.参照シートー１'!$G21)</f>
        <v>21300</v>
      </c>
      <c r="G21" s="633">
        <f>IF($E$4="","",IF(AND($I21&gt;=20,$D21=88,'4-1.参照シートー１'!$R21&gt;104000),($R21+$V21)*$G$12,0))</f>
        <v>21300</v>
      </c>
      <c r="H21" s="631">
        <f t="shared" si="10"/>
        <v>6</v>
      </c>
      <c r="I21" s="632">
        <f t="shared" si="11"/>
        <v>26</v>
      </c>
      <c r="J21" s="610">
        <f t="shared" si="2"/>
        <v>1355.7142857142858</v>
      </c>
      <c r="K21" s="609">
        <f t="shared" si="12"/>
        <v>117495.23809523811</v>
      </c>
      <c r="L21" s="610">
        <f t="shared" si="13"/>
        <v>138795.23809523811</v>
      </c>
      <c r="M21" s="625">
        <f t="shared" si="14"/>
        <v>140795.23809523811</v>
      </c>
      <c r="N21" s="612">
        <f t="shared" si="6"/>
        <v>1689542.8571428573</v>
      </c>
      <c r="O21" s="626">
        <f t="shared" si="7"/>
        <v>121495.23809523811</v>
      </c>
      <c r="P21" s="614">
        <f>IF($E$4="",0,IF($O21=0,0,VLOOKUP($O21,'3-1.標準報酬月額・保険料表'!$N$8:$O$57,2,TRUE)))</f>
        <v>118000</v>
      </c>
      <c r="Q21" s="627">
        <f t="shared" si="8"/>
        <v>142795.23809523811</v>
      </c>
      <c r="R21" s="628">
        <f>IF($E$4="",0,IF($Q21=0,0,VLOOKUP($Q21,'3-1.標準報酬月額・保険料表'!$N$8:$O$57,2,TRUE)))</f>
        <v>142000</v>
      </c>
      <c r="S21" s="613">
        <f t="shared" si="9"/>
        <v>142795.23809523811</v>
      </c>
      <c r="T21" s="617">
        <f>IF($E$4="",0,IF($S21=0,0,VLOOKUP($S21,'3-1.標準報酬月額・保険料表'!$N$8:$O$57,2,TRUE)))</f>
        <v>142000</v>
      </c>
      <c r="U21" s="629">
        <f t="shared" si="3"/>
        <v>0</v>
      </c>
      <c r="V21" s="619">
        <f t="shared" si="4"/>
        <v>0</v>
      </c>
      <c r="W21" s="620">
        <f t="shared" si="5"/>
        <v>117495.23809523811</v>
      </c>
    </row>
    <row r="22" spans="2:23" ht="21.95" customHeight="1" x14ac:dyDescent="0.15">
      <c r="B22" s="602">
        <v>8</v>
      </c>
      <c r="C22" s="621">
        <f t="shared" si="0"/>
        <v>1040</v>
      </c>
      <c r="D22" s="630">
        <f t="shared" si="1"/>
        <v>88</v>
      </c>
      <c r="E22" s="605">
        <f>IF($E$4="","",IF(AND($I22&gt;=20,$D22=88,'4-1.参照シートー１'!$R22&lt;=104000),($P22+$V22)*$G$12,0))</f>
        <v>0</v>
      </c>
      <c r="F22" s="648">
        <f>IF('4-1.参照シートー１'!$G22="","",'4-1.参照シートー１'!$G22)</f>
        <v>21300</v>
      </c>
      <c r="G22" s="633">
        <f>IF($E$4="","",IF(AND($I22&gt;=20,$D22=88,'4-1.参照シートー１'!$R22&gt;104000),($R22+$V22)*$G$12,0))</f>
        <v>22500</v>
      </c>
      <c r="H22" s="631">
        <f t="shared" si="10"/>
        <v>7</v>
      </c>
      <c r="I22" s="632">
        <f t="shared" si="11"/>
        <v>27</v>
      </c>
      <c r="J22" s="610">
        <f t="shared" si="2"/>
        <v>1407.8571428571429</v>
      </c>
      <c r="K22" s="609">
        <f t="shared" si="12"/>
        <v>122014.28571428572</v>
      </c>
      <c r="L22" s="610">
        <f t="shared" si="13"/>
        <v>143314.28571428574</v>
      </c>
      <c r="M22" s="625">
        <f>IF($E$4="",0,IF($L22=0,0,$L22+$M$6))</f>
        <v>145314.28571428574</v>
      </c>
      <c r="N22" s="612">
        <f t="shared" si="6"/>
        <v>1743771.4285714289</v>
      </c>
      <c r="O22" s="626">
        <f t="shared" si="7"/>
        <v>126014.28571428572</v>
      </c>
      <c r="P22" s="614">
        <f>IF($E$4="",0,IF($O22=0,0,VLOOKUP($O22,'3-1.標準報酬月額・保険料表'!$N$8:$O$57,2,TRUE)))</f>
        <v>126000</v>
      </c>
      <c r="Q22" s="627">
        <f t="shared" si="8"/>
        <v>147314.28571428574</v>
      </c>
      <c r="R22" s="628">
        <f>IF($E$4="",0,IF($Q22=0,0,VLOOKUP($Q22,'3-1.標準報酬月額・保険料表'!$N$8:$O$57,2,TRUE)))</f>
        <v>150000</v>
      </c>
      <c r="S22" s="613">
        <f t="shared" si="9"/>
        <v>148514.28571428574</v>
      </c>
      <c r="T22" s="617">
        <f>IF($E$4="",0,IF($S22=0,0,VLOOKUP($S22,'3-1.標準報酬月額・保険料表'!$N$8:$O$57,2,TRUE)))</f>
        <v>150000</v>
      </c>
      <c r="U22" s="629">
        <f t="shared" si="3"/>
        <v>0</v>
      </c>
      <c r="V22" s="619">
        <f t="shared" si="4"/>
        <v>0</v>
      </c>
      <c r="W22" s="620">
        <f t="shared" si="5"/>
        <v>122014.28571428572</v>
      </c>
    </row>
    <row r="23" spans="2:23" ht="21.95" customHeight="1" x14ac:dyDescent="0.15">
      <c r="B23" s="602">
        <v>9</v>
      </c>
      <c r="C23" s="621">
        <f t="shared" si="0"/>
        <v>1040</v>
      </c>
      <c r="D23" s="630">
        <f t="shared" si="1"/>
        <v>88</v>
      </c>
      <c r="E23" s="605">
        <f>IF($E$4="","",IF(AND($I23&gt;=20,$D23=88,'4-1.参照シートー１'!$R23&lt;=104000),($P23+$V23)*$G$12,0))</f>
        <v>0</v>
      </c>
      <c r="F23" s="648">
        <f>IF('4-1.参照シートー１'!$G23="","",'4-1.参照シートー１'!$G23)</f>
        <v>22500</v>
      </c>
      <c r="G23" s="633">
        <f>IF($E$4="","",IF(AND($I23&gt;=20,$D23=88,'4-1.参照シートー１'!$R23&gt;104000),($R23+$V23)*$G$12,0))</f>
        <v>22500</v>
      </c>
      <c r="H23" s="631">
        <f t="shared" si="10"/>
        <v>8</v>
      </c>
      <c r="I23" s="632">
        <f t="shared" si="11"/>
        <v>28</v>
      </c>
      <c r="J23" s="610">
        <f t="shared" si="2"/>
        <v>1460</v>
      </c>
      <c r="K23" s="609">
        <f t="shared" si="12"/>
        <v>126533.33333333333</v>
      </c>
      <c r="L23" s="610">
        <f>IF($E$4="","",$K23+$E23+$F23)</f>
        <v>149033.33333333331</v>
      </c>
      <c r="M23" s="625">
        <f t="shared" si="14"/>
        <v>151033.33333333331</v>
      </c>
      <c r="N23" s="612">
        <f t="shared" si="6"/>
        <v>1812399.9999999998</v>
      </c>
      <c r="O23" s="626">
        <f t="shared" si="7"/>
        <v>130533.33333333333</v>
      </c>
      <c r="P23" s="614">
        <f>IF($E$4="",0,IF($O23=0,0,VLOOKUP($O23,'3-1.標準報酬月額・保険料表'!$N$8:$O$57,2,TRUE)))</f>
        <v>134000</v>
      </c>
      <c r="Q23" s="627">
        <f t="shared" si="8"/>
        <v>153033.33333333331</v>
      </c>
      <c r="R23" s="628">
        <f>IF($E$4="",0,IF($Q23=0,0,VLOOKUP($Q23,'3-1.標準報酬月額・保険料表'!$N$8:$O$57,2,TRUE)))</f>
        <v>150000</v>
      </c>
      <c r="S23" s="613">
        <f t="shared" si="9"/>
        <v>153033.33333333331</v>
      </c>
      <c r="T23" s="617">
        <f>IF($E$4="",0,IF($S23=0,0,VLOOKUP($S23,'3-1.標準報酬月額・保険料表'!$N$8:$O$57,2,TRUE)))</f>
        <v>150000</v>
      </c>
      <c r="U23" s="629">
        <f t="shared" si="3"/>
        <v>0</v>
      </c>
      <c r="V23" s="619">
        <f t="shared" si="4"/>
        <v>0</v>
      </c>
      <c r="W23" s="620">
        <f t="shared" si="5"/>
        <v>126533.33333333333</v>
      </c>
    </row>
    <row r="24" spans="2:23" ht="21.95" customHeight="1" x14ac:dyDescent="0.15">
      <c r="B24" s="602">
        <v>10</v>
      </c>
      <c r="C24" s="621">
        <f t="shared" si="0"/>
        <v>1040</v>
      </c>
      <c r="D24" s="630">
        <f t="shared" si="1"/>
        <v>88</v>
      </c>
      <c r="E24" s="605">
        <f>IF($E$4="","",IF(AND($I24&gt;=20,$D24=88,'4-1.参照シートー１'!$R24&lt;=104000),($P24+$V24)*$G$12,0))</f>
        <v>0</v>
      </c>
      <c r="F24" s="648">
        <f>IF('4-1.参照シートー１'!$G24="","",'4-1.参照シートー１'!$G24)</f>
        <v>24000</v>
      </c>
      <c r="G24" s="633">
        <f>IF($E$4="","",IF(AND($I24&gt;=20,$D24=88,'4-1.参照シートー１'!$R24&gt;104000),($R24+$V24)*$G$12,0))</f>
        <v>24000</v>
      </c>
      <c r="H24" s="631">
        <f t="shared" si="10"/>
        <v>9</v>
      </c>
      <c r="I24" s="632">
        <f t="shared" si="11"/>
        <v>29</v>
      </c>
      <c r="J24" s="610">
        <f t="shared" si="2"/>
        <v>1512.1428571428571</v>
      </c>
      <c r="K24" s="609">
        <f t="shared" si="12"/>
        <v>131052.38095238095</v>
      </c>
      <c r="L24" s="610">
        <f t="shared" si="13"/>
        <v>155052.38095238095</v>
      </c>
      <c r="M24" s="625">
        <f t="shared" si="14"/>
        <v>157052.38095238095</v>
      </c>
      <c r="N24" s="612">
        <f t="shared" si="6"/>
        <v>1884628.5714285714</v>
      </c>
      <c r="O24" s="626">
        <f t="shared" si="7"/>
        <v>135052.38095238095</v>
      </c>
      <c r="P24" s="614">
        <f>IF($E$4="",0,IF($O24=0,0,VLOOKUP($O24,'3-1.標準報酬月額・保険料表'!$N$8:$O$57,2,TRUE)))</f>
        <v>134000</v>
      </c>
      <c r="Q24" s="627">
        <f t="shared" si="8"/>
        <v>159052.38095238095</v>
      </c>
      <c r="R24" s="628">
        <f>IF($E$4="",0,IF($Q24=0,0,VLOOKUP($Q24,'3-1.標準報酬月額・保険料表'!$N$8:$O$57,2,TRUE)))</f>
        <v>160000</v>
      </c>
      <c r="S24" s="613">
        <f t="shared" si="9"/>
        <v>159052.38095238095</v>
      </c>
      <c r="T24" s="617">
        <f>IF($E$4="",0,IF($S24=0,0,VLOOKUP($S24,'3-1.標準報酬月額・保険料表'!$N$8:$O$57,2,TRUE)))</f>
        <v>160000</v>
      </c>
      <c r="U24" s="629">
        <f t="shared" si="3"/>
        <v>0</v>
      </c>
      <c r="V24" s="619">
        <f t="shared" si="4"/>
        <v>0</v>
      </c>
      <c r="W24" s="620">
        <f t="shared" si="5"/>
        <v>131052.38095238095</v>
      </c>
    </row>
    <row r="25" spans="2:23" ht="21.95" customHeight="1" x14ac:dyDescent="0.15">
      <c r="B25" s="602">
        <v>11</v>
      </c>
      <c r="C25" s="621">
        <f t="shared" si="0"/>
        <v>1040</v>
      </c>
      <c r="D25" s="630">
        <f t="shared" si="1"/>
        <v>88</v>
      </c>
      <c r="E25" s="605">
        <f>IF($E$4="","",IF(AND($I25&gt;=20,$D25=88,'4-1.参照シートー１'!$R25&lt;=104000),($P25+$V25)*$G$12,0))</f>
        <v>0</v>
      </c>
      <c r="F25" s="648">
        <f>IF('4-1.参照シートー１'!$G25="","",'4-1.参照シートー１'!$G25)</f>
        <v>24000</v>
      </c>
      <c r="G25" s="633">
        <f>IF($E$4="","",IF(AND($I25&gt;=20,$D25=88,'4-1.参照シートー１'!$R25&gt;104000),($R25+$V25)*$G$12,0))</f>
        <v>24000</v>
      </c>
      <c r="H25" s="631">
        <f t="shared" si="10"/>
        <v>10</v>
      </c>
      <c r="I25" s="632">
        <f t="shared" si="11"/>
        <v>30</v>
      </c>
      <c r="J25" s="610">
        <f t="shared" si="2"/>
        <v>1564.2857142857142</v>
      </c>
      <c r="K25" s="609">
        <f t="shared" si="12"/>
        <v>135571.42857142855</v>
      </c>
      <c r="L25" s="610">
        <f t="shared" si="13"/>
        <v>159571.42857142855</v>
      </c>
      <c r="M25" s="625">
        <f t="shared" si="14"/>
        <v>161571.42857142855</v>
      </c>
      <c r="N25" s="612">
        <f t="shared" si="6"/>
        <v>1938857.1428571427</v>
      </c>
      <c r="O25" s="626">
        <f t="shared" si="7"/>
        <v>139571.42857142855</v>
      </c>
      <c r="P25" s="614">
        <f>IF($E$4="",0,IF($O25=0,0,VLOOKUP($O25,'3-1.標準報酬月額・保険料表'!$N$8:$O$57,2,TRUE)))</f>
        <v>142000</v>
      </c>
      <c r="Q25" s="627">
        <f t="shared" si="8"/>
        <v>163571.42857142855</v>
      </c>
      <c r="R25" s="628">
        <f>IF($E$4="",0,IF($Q25=0,0,VLOOKUP($Q25,'3-1.標準報酬月額・保険料表'!$N$8:$O$57,2,TRUE)))</f>
        <v>160000</v>
      </c>
      <c r="S25" s="613">
        <f t="shared" si="9"/>
        <v>163571.42857142855</v>
      </c>
      <c r="T25" s="617">
        <f>IF($E$4="",0,IF($S25=0,0,VLOOKUP($S25,'3-1.標準報酬月額・保険料表'!$N$8:$O$57,2,TRUE)))</f>
        <v>160000</v>
      </c>
      <c r="U25" s="629">
        <f t="shared" si="3"/>
        <v>0</v>
      </c>
      <c r="V25" s="619">
        <f t="shared" si="4"/>
        <v>0</v>
      </c>
      <c r="W25" s="620">
        <f t="shared" si="5"/>
        <v>135571.42857142855</v>
      </c>
    </row>
    <row r="26" spans="2:23" ht="21.95" customHeight="1" x14ac:dyDescent="0.15">
      <c r="B26" s="602">
        <v>12</v>
      </c>
      <c r="C26" s="621">
        <f t="shared" si="0"/>
        <v>1040</v>
      </c>
      <c r="D26" s="630">
        <f t="shared" si="1"/>
        <v>88</v>
      </c>
      <c r="E26" s="605">
        <f>IF($E$4="","",IF(AND($I26&gt;=20,$D26=88,'4-1.参照シートー１'!$R26&lt;=104000),($P26+$V26)*$G$12,0))</f>
        <v>0</v>
      </c>
      <c r="F26" s="648">
        <f>IF('4-1.参照シートー１'!$G26="","",'4-1.参照シートー１'!$G26)</f>
        <v>25500</v>
      </c>
      <c r="G26" s="633">
        <f>IF($E$4="","",IF(AND($I26&gt;=20,$D26=88,'4-1.参照シートー１'!$R26&gt;104000),($R26+$V26)*$G$12,0))</f>
        <v>25500</v>
      </c>
      <c r="H26" s="631">
        <f t="shared" si="10"/>
        <v>11</v>
      </c>
      <c r="I26" s="632">
        <f t="shared" si="11"/>
        <v>31</v>
      </c>
      <c r="J26" s="610">
        <f t="shared" si="2"/>
        <v>1616.4285714285713</v>
      </c>
      <c r="K26" s="609">
        <f t="shared" si="12"/>
        <v>140090.47619047618</v>
      </c>
      <c r="L26" s="610">
        <f t="shared" si="13"/>
        <v>165590.47619047618</v>
      </c>
      <c r="M26" s="625">
        <f t="shared" si="14"/>
        <v>167590.47619047618</v>
      </c>
      <c r="N26" s="612">
        <f t="shared" si="6"/>
        <v>2011085.7142857141</v>
      </c>
      <c r="O26" s="626">
        <f t="shared" si="7"/>
        <v>144090.47619047618</v>
      </c>
      <c r="P26" s="614">
        <f>IF($E$4="",0,IF($O26=0,0,VLOOKUP($O26,'3-1.標準報酬月額・保険料表'!$N$8:$O$57,2,TRUE)))</f>
        <v>142000</v>
      </c>
      <c r="Q26" s="627">
        <f t="shared" si="8"/>
        <v>169590.47619047618</v>
      </c>
      <c r="R26" s="628">
        <f>IF($E$4="",0,IF($Q26=0,0,VLOOKUP($Q26,'3-1.標準報酬月額・保険料表'!$N$8:$O$57,2,TRUE)))</f>
        <v>170000</v>
      </c>
      <c r="S26" s="613">
        <f t="shared" si="9"/>
        <v>169590.47619047618</v>
      </c>
      <c r="T26" s="617">
        <f>IF($E$4="",0,IF($S26=0,0,VLOOKUP($S26,'3-1.標準報酬月額・保険料表'!$N$8:$O$57,2,TRUE)))</f>
        <v>170000</v>
      </c>
      <c r="U26" s="629">
        <f t="shared" si="3"/>
        <v>0</v>
      </c>
      <c r="V26" s="619">
        <f t="shared" si="4"/>
        <v>0</v>
      </c>
      <c r="W26" s="620">
        <f t="shared" si="5"/>
        <v>140090.47619047618</v>
      </c>
    </row>
    <row r="27" spans="2:23" ht="21.95" customHeight="1" x14ac:dyDescent="0.15">
      <c r="B27" s="602">
        <v>13</v>
      </c>
      <c r="C27" s="621">
        <f t="shared" si="0"/>
        <v>1040</v>
      </c>
      <c r="D27" s="630">
        <f t="shared" si="1"/>
        <v>88</v>
      </c>
      <c r="E27" s="605">
        <f>IF($E$4="","",IF(AND($I27&gt;=20,$D27=88,'4-1.参照シートー１'!$R27&lt;=104000),($P27+$V27)*$G$12,0))</f>
        <v>0</v>
      </c>
      <c r="F27" s="648">
        <f>IF('4-1.参照シートー１'!$G27="","",'4-1.参照シートー１'!$G27)</f>
        <v>25500</v>
      </c>
      <c r="G27" s="633">
        <f>IF($E$4="","",IF(AND($I27&gt;=20,$D27=88,'4-1.参照シートー１'!$R27&gt;104000),($R27+$V27)*$G$12,0))</f>
        <v>25500</v>
      </c>
      <c r="H27" s="631">
        <f t="shared" si="10"/>
        <v>12</v>
      </c>
      <c r="I27" s="632">
        <f t="shared" si="11"/>
        <v>32</v>
      </c>
      <c r="J27" s="610">
        <f t="shared" si="2"/>
        <v>1668.5714285714287</v>
      </c>
      <c r="K27" s="609">
        <f t="shared" si="12"/>
        <v>144609.52380952382</v>
      </c>
      <c r="L27" s="610">
        <f t="shared" si="13"/>
        <v>170109.52380952382</v>
      </c>
      <c r="M27" s="625">
        <f t="shared" si="14"/>
        <v>172109.52380952382</v>
      </c>
      <c r="N27" s="612">
        <f t="shared" si="6"/>
        <v>2065314.2857142859</v>
      </c>
      <c r="O27" s="626">
        <f t="shared" si="7"/>
        <v>148609.52380952382</v>
      </c>
      <c r="P27" s="614">
        <f>IF($E$4="",0,IF($O27=0,0,VLOOKUP($O27,'3-1.標準報酬月額・保険料表'!$N$8:$O$57,2,TRUE)))</f>
        <v>150000</v>
      </c>
      <c r="Q27" s="627">
        <f t="shared" si="8"/>
        <v>174109.52380952382</v>
      </c>
      <c r="R27" s="628">
        <f>IF($E$4="",0,IF($Q27=0,0,VLOOKUP($Q27,'3-1.標準報酬月額・保険料表'!$N$8:$O$57,2,TRUE)))</f>
        <v>170000</v>
      </c>
      <c r="S27" s="613">
        <f t="shared" si="9"/>
        <v>174109.52380952382</v>
      </c>
      <c r="T27" s="617">
        <f>IF($E$4="",0,IF($S27=0,0,VLOOKUP($S27,'3-1.標準報酬月額・保険料表'!$N$8:$O$57,2,TRUE)))</f>
        <v>170000</v>
      </c>
      <c r="U27" s="629">
        <f t="shared" si="3"/>
        <v>0</v>
      </c>
      <c r="V27" s="619">
        <f t="shared" si="4"/>
        <v>0</v>
      </c>
      <c r="W27" s="620">
        <f t="shared" si="5"/>
        <v>144609.52380952382</v>
      </c>
    </row>
    <row r="28" spans="2:23" ht="21.95" customHeight="1" x14ac:dyDescent="0.15">
      <c r="B28" s="602">
        <v>14</v>
      </c>
      <c r="C28" s="621">
        <f t="shared" si="0"/>
        <v>1040</v>
      </c>
      <c r="D28" s="630">
        <f t="shared" si="1"/>
        <v>88</v>
      </c>
      <c r="E28" s="605">
        <f>IF($E$4="","",IF(AND($I28&gt;=20,$D28=88,'4-1.参照シートー１'!$R28&lt;=104000),($P28+$V28)*$G$12,0))</f>
        <v>0</v>
      </c>
      <c r="F28" s="648">
        <f>IF('4-1.参照シートー１'!$G28="","",'4-1.参照シートー１'!$G28)</f>
        <v>27000</v>
      </c>
      <c r="G28" s="633">
        <f>IF($E$4="","",IF(AND($I28&gt;=20,$D28=88,'4-1.参照シートー１'!$R28&gt;104000),($R28+$V28)*$G$12,0))</f>
        <v>27000</v>
      </c>
      <c r="H28" s="631">
        <f t="shared" si="10"/>
        <v>13</v>
      </c>
      <c r="I28" s="632">
        <f t="shared" si="11"/>
        <v>33</v>
      </c>
      <c r="J28" s="610">
        <f t="shared" si="2"/>
        <v>1720.7142857142858</v>
      </c>
      <c r="K28" s="609">
        <f t="shared" si="12"/>
        <v>149128.57142857145</v>
      </c>
      <c r="L28" s="610">
        <f t="shared" si="13"/>
        <v>176128.57142857145</v>
      </c>
      <c r="M28" s="625">
        <f t="shared" si="14"/>
        <v>178128.57142857145</v>
      </c>
      <c r="N28" s="612">
        <f t="shared" si="6"/>
        <v>2137542.8571428573</v>
      </c>
      <c r="O28" s="626">
        <f t="shared" si="7"/>
        <v>153128.57142857145</v>
      </c>
      <c r="P28" s="614">
        <f>IF($E$4="",0,IF($O28=0,0,VLOOKUP($O28,'3-1.標準報酬月額・保険料表'!$N$8:$O$57,2,TRUE)))</f>
        <v>150000</v>
      </c>
      <c r="Q28" s="627">
        <f t="shared" si="8"/>
        <v>180128.57142857145</v>
      </c>
      <c r="R28" s="628">
        <f>IF($E$4="",0,IF($Q28=0,0,VLOOKUP($Q28,'3-1.標準報酬月額・保険料表'!$N$8:$O$57,2,TRUE)))</f>
        <v>180000</v>
      </c>
      <c r="S28" s="613">
        <f t="shared" si="9"/>
        <v>180128.57142857145</v>
      </c>
      <c r="T28" s="617">
        <f>IF($E$4="",0,IF($S28=0,0,VLOOKUP($S28,'3-1.標準報酬月額・保険料表'!$N$8:$O$57,2,TRUE)))</f>
        <v>180000</v>
      </c>
      <c r="U28" s="629">
        <f t="shared" si="3"/>
        <v>0</v>
      </c>
      <c r="V28" s="619">
        <f t="shared" si="4"/>
        <v>0</v>
      </c>
      <c r="W28" s="620">
        <f t="shared" si="5"/>
        <v>149128.57142857145</v>
      </c>
    </row>
    <row r="29" spans="2:23" ht="21.95" customHeight="1" x14ac:dyDescent="0.15">
      <c r="B29" s="602">
        <v>15</v>
      </c>
      <c r="C29" s="621">
        <f t="shared" si="0"/>
        <v>1040</v>
      </c>
      <c r="D29" s="630">
        <f t="shared" si="1"/>
        <v>88</v>
      </c>
      <c r="E29" s="605">
        <f>IF($E$4="","",IF(AND($I29&gt;=20,$D29=88,'4-1.参照シートー１'!$R29&lt;=104000),($P29+$V29)*$G$12,0))</f>
        <v>0</v>
      </c>
      <c r="F29" s="648">
        <f>IF('4-1.参照シートー１'!$G29="","",'4-1.参照シートー１'!$G29)</f>
        <v>27000</v>
      </c>
      <c r="G29" s="633">
        <f>IF($E$4="","",IF(AND($I29&gt;=20,$D29=88,'4-1.参照シートー１'!$R29&gt;104000),($R29+$V29)*$G$12,0))</f>
        <v>27000</v>
      </c>
      <c r="H29" s="631">
        <f t="shared" si="10"/>
        <v>14</v>
      </c>
      <c r="I29" s="632">
        <f t="shared" si="11"/>
        <v>34</v>
      </c>
      <c r="J29" s="610">
        <f t="shared" si="2"/>
        <v>1772.8571428571429</v>
      </c>
      <c r="K29" s="609">
        <f t="shared" si="12"/>
        <v>153647.61904761905</v>
      </c>
      <c r="L29" s="610">
        <f t="shared" si="13"/>
        <v>180647.61904761905</v>
      </c>
      <c r="M29" s="625">
        <f t="shared" si="14"/>
        <v>182647.61904761905</v>
      </c>
      <c r="N29" s="612">
        <f t="shared" si="6"/>
        <v>2191771.4285714286</v>
      </c>
      <c r="O29" s="626">
        <f t="shared" si="7"/>
        <v>157647.61904761905</v>
      </c>
      <c r="P29" s="614">
        <f>IF($E$4="",0,IF($O29=0,0,VLOOKUP($O29,'3-1.標準報酬月額・保険料表'!$N$8:$O$57,2,TRUE)))</f>
        <v>160000</v>
      </c>
      <c r="Q29" s="627">
        <f t="shared" si="8"/>
        <v>184647.61904761905</v>
      </c>
      <c r="R29" s="628">
        <f>IF($E$4="",0,IF($Q29=0,0,VLOOKUP($Q29,'3-1.標準報酬月額・保険料表'!$N$8:$O$57,2,TRUE)))</f>
        <v>180000</v>
      </c>
      <c r="S29" s="613">
        <f t="shared" si="9"/>
        <v>184647.61904761905</v>
      </c>
      <c r="T29" s="617">
        <f>IF($E$4="",0,IF($S29=0,0,VLOOKUP($S29,'3-1.標準報酬月額・保険料表'!$N$8:$O$57,2,TRUE)))</f>
        <v>180000</v>
      </c>
      <c r="U29" s="629">
        <f t="shared" si="3"/>
        <v>0</v>
      </c>
      <c r="V29" s="619">
        <f t="shared" si="4"/>
        <v>0</v>
      </c>
      <c r="W29" s="620">
        <f t="shared" si="5"/>
        <v>153647.61904761905</v>
      </c>
    </row>
    <row r="30" spans="2:23" ht="21.95" customHeight="1" x14ac:dyDescent="0.15">
      <c r="B30" s="602">
        <v>16</v>
      </c>
      <c r="C30" s="621">
        <f t="shared" si="0"/>
        <v>1040</v>
      </c>
      <c r="D30" s="630">
        <f t="shared" si="1"/>
        <v>88</v>
      </c>
      <c r="E30" s="605">
        <f>IF($E$4="","",IF(AND($I30&gt;=20,$D30=88,'4-1.参照シートー１'!$R30&lt;=104000),($P30+$V30)*$G$12,0))</f>
        <v>0</v>
      </c>
      <c r="F30" s="648">
        <f>IF('4-1.参照シートー１'!$G30="","",'4-1.参照シートー１'!$G30)</f>
        <v>28500</v>
      </c>
      <c r="G30" s="633">
        <f>IF($E$4="","",IF(AND($I30&gt;=20,$D30=88,'4-1.参照シートー１'!$R30&gt;104000),($R30+$V30)*$G$12,0))</f>
        <v>28500</v>
      </c>
      <c r="H30" s="631">
        <f t="shared" si="10"/>
        <v>15</v>
      </c>
      <c r="I30" s="632">
        <f t="shared" si="11"/>
        <v>35</v>
      </c>
      <c r="J30" s="610">
        <f t="shared" si="2"/>
        <v>1825</v>
      </c>
      <c r="K30" s="609">
        <f t="shared" si="12"/>
        <v>158166.66666666666</v>
      </c>
      <c r="L30" s="610">
        <f t="shared" si="13"/>
        <v>186666.66666666666</v>
      </c>
      <c r="M30" s="625">
        <f t="shared" si="14"/>
        <v>188666.66666666666</v>
      </c>
      <c r="N30" s="612">
        <f t="shared" si="6"/>
        <v>2264000</v>
      </c>
      <c r="O30" s="626">
        <f t="shared" si="7"/>
        <v>162166.66666666666</v>
      </c>
      <c r="P30" s="614">
        <f>IF($E$4="",0,IF($O30=0,0,VLOOKUP($O30,'3-1.標準報酬月額・保険料表'!$N$8:$O$57,2,TRUE)))</f>
        <v>160000</v>
      </c>
      <c r="Q30" s="627">
        <f t="shared" si="8"/>
        <v>190666.66666666666</v>
      </c>
      <c r="R30" s="628">
        <f>IF($E$4="",0,IF($Q30=0,0,VLOOKUP($Q30,'3-1.標準報酬月額・保険料表'!$N$8:$O$57,2,TRUE)))</f>
        <v>190000</v>
      </c>
      <c r="S30" s="613">
        <f t="shared" si="9"/>
        <v>190666.66666666666</v>
      </c>
      <c r="T30" s="617">
        <f>IF($E$4="",0,IF($S30=0,0,VLOOKUP($S30,'3-1.標準報酬月額・保険料表'!$N$8:$O$57,2,TRUE)))</f>
        <v>190000</v>
      </c>
      <c r="U30" s="629">
        <f t="shared" si="3"/>
        <v>0</v>
      </c>
      <c r="V30" s="619">
        <f t="shared" si="4"/>
        <v>0</v>
      </c>
      <c r="W30" s="620">
        <f t="shared" si="5"/>
        <v>158166.66666666666</v>
      </c>
    </row>
    <row r="31" spans="2:23" ht="21.95" customHeight="1" x14ac:dyDescent="0.15">
      <c r="B31" s="602">
        <v>17</v>
      </c>
      <c r="C31" s="621">
        <f t="shared" si="0"/>
        <v>1040</v>
      </c>
      <c r="D31" s="630">
        <f t="shared" si="1"/>
        <v>88</v>
      </c>
      <c r="E31" s="605">
        <f>IF($E$4="","",IF(AND($I31&gt;=20,$D31=88,'4-1.参照シートー１'!$R31&lt;=104000),($P31+$V31)*$G$12,0))</f>
        <v>0</v>
      </c>
      <c r="F31" s="648">
        <f>IF('4-1.参照シートー１'!$G31="","",'4-1.参照シートー１'!$G31)</f>
        <v>28500</v>
      </c>
      <c r="G31" s="633">
        <f>IF($E$4="","",IF(AND($I31&gt;=20,$D31=88,'4-1.参照シートー１'!$R31&gt;104000),($R31+$V31)*$G$12,0))</f>
        <v>30000</v>
      </c>
      <c r="H31" s="631">
        <f t="shared" si="10"/>
        <v>16</v>
      </c>
      <c r="I31" s="632">
        <f t="shared" si="11"/>
        <v>36</v>
      </c>
      <c r="J31" s="610">
        <f t="shared" si="2"/>
        <v>1877.1428571428571</v>
      </c>
      <c r="K31" s="609">
        <f t="shared" si="12"/>
        <v>162685.71428571429</v>
      </c>
      <c r="L31" s="610">
        <f t="shared" si="13"/>
        <v>191185.71428571429</v>
      </c>
      <c r="M31" s="625">
        <f t="shared" si="14"/>
        <v>193185.71428571429</v>
      </c>
      <c r="N31" s="612">
        <f t="shared" si="6"/>
        <v>2318228.5714285714</v>
      </c>
      <c r="O31" s="626">
        <f t="shared" si="7"/>
        <v>166685.71428571429</v>
      </c>
      <c r="P31" s="614">
        <f>IF($E$4="",0,IF($O31=0,0,VLOOKUP($O31,'3-1.標準報酬月額・保険料表'!$N$8:$O$57,2,TRUE)))</f>
        <v>170000</v>
      </c>
      <c r="Q31" s="627">
        <f t="shared" si="8"/>
        <v>195185.71428571429</v>
      </c>
      <c r="R31" s="628">
        <f>IF($E$4="",0,IF($Q31=0,0,VLOOKUP($Q31,'3-1.標準報酬月額・保険料表'!$N$8:$O$57,2,TRUE)))</f>
        <v>200000</v>
      </c>
      <c r="S31" s="613">
        <f t="shared" si="9"/>
        <v>196685.71428571429</v>
      </c>
      <c r="T31" s="617">
        <f>IF($E$4="",0,IF($S31=0,0,VLOOKUP($S31,'3-1.標準報酬月額・保険料表'!$N$8:$O$57,2,TRUE)))</f>
        <v>200000</v>
      </c>
      <c r="U31" s="629">
        <f t="shared" si="3"/>
        <v>0</v>
      </c>
      <c r="V31" s="619">
        <f t="shared" si="4"/>
        <v>0</v>
      </c>
      <c r="W31" s="620">
        <f t="shared" si="5"/>
        <v>162685.71428571429</v>
      </c>
    </row>
    <row r="32" spans="2:23" ht="21.95" customHeight="1" x14ac:dyDescent="0.15">
      <c r="B32" s="602">
        <v>18</v>
      </c>
      <c r="C32" s="621">
        <f t="shared" si="0"/>
        <v>1040</v>
      </c>
      <c r="D32" s="630">
        <f t="shared" si="1"/>
        <v>88</v>
      </c>
      <c r="E32" s="605">
        <f>IF($E$4="","",IF(AND($I32&gt;=20,$D32=88,'4-1.参照シートー１'!$R32&lt;=104000),($P32+$V32)*$G$12,0))</f>
        <v>0</v>
      </c>
      <c r="F32" s="648">
        <f>IF('4-1.参照シートー１'!$G32="","",'4-1.参照シートー１'!$G32)</f>
        <v>30000</v>
      </c>
      <c r="G32" s="633">
        <f>IF($E$4="","",IF(AND($I32&gt;=20,$D32=88,'4-1.参照シートー１'!$R32&gt;104000),($R32+$V32)*$G$12,0))</f>
        <v>30000</v>
      </c>
      <c r="H32" s="631">
        <f t="shared" si="10"/>
        <v>17</v>
      </c>
      <c r="I32" s="632">
        <f t="shared" si="11"/>
        <v>37</v>
      </c>
      <c r="J32" s="610">
        <f t="shared" si="2"/>
        <v>1929.2857142857142</v>
      </c>
      <c r="K32" s="609">
        <f t="shared" si="12"/>
        <v>167204.76190476189</v>
      </c>
      <c r="L32" s="610">
        <f t="shared" si="13"/>
        <v>197204.76190476189</v>
      </c>
      <c r="M32" s="625">
        <f t="shared" si="14"/>
        <v>199204.76190476189</v>
      </c>
      <c r="N32" s="612">
        <f t="shared" si="6"/>
        <v>2390457.1428571427</v>
      </c>
      <c r="O32" s="626">
        <f t="shared" si="7"/>
        <v>171204.76190476189</v>
      </c>
      <c r="P32" s="614">
        <f>IF($E$4="",0,IF($O32=0,0,VLOOKUP($O32,'3-1.標準報酬月額・保険料表'!$N$8:$O$57,2,TRUE)))</f>
        <v>170000</v>
      </c>
      <c r="Q32" s="627">
        <f t="shared" si="8"/>
        <v>201204.76190476189</v>
      </c>
      <c r="R32" s="628">
        <f>IF($E$4="",0,IF($Q32=0,0,VLOOKUP($Q32,'3-1.標準報酬月額・保険料表'!$N$8:$O$57,2,TRUE)))</f>
        <v>200000</v>
      </c>
      <c r="S32" s="613">
        <f t="shared" si="9"/>
        <v>201204.76190476189</v>
      </c>
      <c r="T32" s="617">
        <f>IF($E$4="",0,IF($S32=0,0,VLOOKUP($S32,'3-1.標準報酬月額・保険料表'!$N$8:$O$57,2,TRUE)))</f>
        <v>200000</v>
      </c>
      <c r="U32" s="629">
        <f t="shared" si="3"/>
        <v>0</v>
      </c>
      <c r="V32" s="619">
        <f t="shared" si="4"/>
        <v>0</v>
      </c>
      <c r="W32" s="620">
        <f t="shared" si="5"/>
        <v>167204.76190476189</v>
      </c>
    </row>
    <row r="33" spans="2:23" ht="21.95" customHeight="1" x14ac:dyDescent="0.15">
      <c r="B33" s="602">
        <v>19</v>
      </c>
      <c r="C33" s="621">
        <f t="shared" si="0"/>
        <v>1040</v>
      </c>
      <c r="D33" s="630">
        <f t="shared" si="1"/>
        <v>88</v>
      </c>
      <c r="E33" s="605">
        <f>IF($E$4="","",IF(AND($I33&gt;=20,$D33=88,'4-1.参照シートー１'!$R33&lt;=104000),($P33+$V33)*$G$12,0))</f>
        <v>0</v>
      </c>
      <c r="F33" s="648">
        <f>IF('4-1.参照シートー１'!$G33="","",'4-1.参照シートー１'!$G33)</f>
        <v>30000</v>
      </c>
      <c r="G33" s="633">
        <f>IF($E$4="","",IF(AND($I33&gt;=20,$D33=88,'4-1.参照シートー１'!$R33&gt;104000),($R33+$V33)*$G$12,0))</f>
        <v>30000</v>
      </c>
      <c r="H33" s="631">
        <f t="shared" si="10"/>
        <v>18</v>
      </c>
      <c r="I33" s="632">
        <f t="shared" si="11"/>
        <v>38</v>
      </c>
      <c r="J33" s="610">
        <f t="shared" si="2"/>
        <v>1981.4285714285713</v>
      </c>
      <c r="K33" s="609">
        <f t="shared" si="12"/>
        <v>171723.8095238095</v>
      </c>
      <c r="L33" s="610">
        <f t="shared" si="13"/>
        <v>201723.8095238095</v>
      </c>
      <c r="M33" s="625">
        <f t="shared" si="14"/>
        <v>203723.8095238095</v>
      </c>
      <c r="N33" s="612">
        <f t="shared" si="6"/>
        <v>2444685.7142857141</v>
      </c>
      <c r="O33" s="626">
        <f t="shared" si="7"/>
        <v>175723.8095238095</v>
      </c>
      <c r="P33" s="614">
        <f>IF($E$4="",0,IF($O33=0,0,VLOOKUP($O33,'3-1.標準報酬月額・保険料表'!$N$8:$O$57,2,TRUE)))</f>
        <v>180000</v>
      </c>
      <c r="Q33" s="627">
        <f t="shared" si="8"/>
        <v>205723.8095238095</v>
      </c>
      <c r="R33" s="628">
        <f>IF($E$4="",0,IF($Q33=0,0,VLOOKUP($Q33,'3-1.標準報酬月額・保険料表'!$N$8:$O$57,2,TRUE)))</f>
        <v>200000</v>
      </c>
      <c r="S33" s="613">
        <f t="shared" si="9"/>
        <v>205723.8095238095</v>
      </c>
      <c r="T33" s="617">
        <f>IF($E$4="",0,IF($S33=0,0,VLOOKUP($S33,'3-1.標準報酬月額・保険料表'!$N$8:$O$57,2,TRUE)))</f>
        <v>200000</v>
      </c>
      <c r="U33" s="629">
        <f t="shared" si="3"/>
        <v>0</v>
      </c>
      <c r="V33" s="619">
        <f t="shared" si="4"/>
        <v>0</v>
      </c>
      <c r="W33" s="620">
        <f t="shared" si="5"/>
        <v>171723.8095238095</v>
      </c>
    </row>
    <row r="34" spans="2:23" ht="21.95" customHeight="1" x14ac:dyDescent="0.15">
      <c r="B34" s="602">
        <v>20</v>
      </c>
      <c r="C34" s="621">
        <f t="shared" si="0"/>
        <v>1040</v>
      </c>
      <c r="D34" s="630">
        <f t="shared" si="1"/>
        <v>88</v>
      </c>
      <c r="E34" s="605">
        <f>IF($E$4="","",IF(AND($I34&gt;=20,$D34=88,'4-1.参照シートー１'!$R34&lt;=104000),($P34+$V34)*$G$12,0))</f>
        <v>0</v>
      </c>
      <c r="F34" s="648">
        <f>IF('4-1.参照シートー１'!$G34="","",'4-1.参照シートー１'!$G34)</f>
        <v>30000</v>
      </c>
      <c r="G34" s="633">
        <f>IF($E$4="","",IF(AND($I34&gt;=20,$D34=88,'4-1.参照シートー１'!$R34&gt;104000),($R34+$V34)*$G$12,0))</f>
        <v>33000</v>
      </c>
      <c r="H34" s="631">
        <f t="shared" si="10"/>
        <v>19</v>
      </c>
      <c r="I34" s="632">
        <f t="shared" si="11"/>
        <v>39</v>
      </c>
      <c r="J34" s="610">
        <f t="shared" si="2"/>
        <v>2033.5714285714287</v>
      </c>
      <c r="K34" s="609">
        <f t="shared" si="12"/>
        <v>176242.85714285716</v>
      </c>
      <c r="L34" s="610">
        <f t="shared" si="13"/>
        <v>206242.85714285716</v>
      </c>
      <c r="M34" s="625">
        <f t="shared" si="14"/>
        <v>208242.85714285716</v>
      </c>
      <c r="N34" s="612">
        <f t="shared" si="6"/>
        <v>2498914.2857142859</v>
      </c>
      <c r="O34" s="626">
        <f t="shared" si="7"/>
        <v>180242.85714285716</v>
      </c>
      <c r="P34" s="614">
        <f>IF($E$4="",0,IF($O34=0,0,VLOOKUP($O34,'3-1.標準報酬月額・保険料表'!$N$8:$O$57,2,TRUE)))</f>
        <v>180000</v>
      </c>
      <c r="Q34" s="627">
        <f t="shared" si="8"/>
        <v>210242.85714285716</v>
      </c>
      <c r="R34" s="628">
        <f>IF($E$4="",0,IF($Q34=0,0,VLOOKUP($Q34,'3-1.標準報酬月額・保険料表'!$N$8:$O$57,2,TRUE)))</f>
        <v>220000</v>
      </c>
      <c r="S34" s="613">
        <f t="shared" si="9"/>
        <v>213242.85714285716</v>
      </c>
      <c r="T34" s="617">
        <f>IF($E$4="",0,IF($S34=0,0,VLOOKUP($S34,'3-1.標準報酬月額・保険料表'!$N$8:$O$57,2,TRUE)))</f>
        <v>220000</v>
      </c>
      <c r="U34" s="629">
        <f t="shared" si="3"/>
        <v>0</v>
      </c>
      <c r="V34" s="619">
        <f t="shared" si="4"/>
        <v>0</v>
      </c>
      <c r="W34" s="620">
        <f t="shared" si="5"/>
        <v>176242.85714285716</v>
      </c>
    </row>
    <row r="35" spans="2:23" ht="21.95" customHeight="1" x14ac:dyDescent="0.15">
      <c r="B35" s="602">
        <v>21</v>
      </c>
      <c r="C35" s="621" t="str">
        <f t="shared" si="0"/>
        <v/>
      </c>
      <c r="D35" s="630" t="str">
        <f t="shared" si="1"/>
        <v/>
      </c>
      <c r="E35" s="605">
        <f>IF($E$4="","",IF(AND($I35&gt;=20,$D35=88,'4-1.参照シートー１'!$R35&lt;=104000),($P35+$V35)*$G$12,0))</f>
        <v>0</v>
      </c>
      <c r="F35" s="648">
        <f>IF('4-1.参照シートー１'!$G35="","",'4-1.参照シートー１'!$G35)</f>
        <v>0</v>
      </c>
      <c r="G35" s="633">
        <f>IF($E$4="","",IF(AND($I35&gt;=20,$D35=88,'4-1.参照シートー１'!$R35&gt;104000),($R35+$V35)*$G$12,0))</f>
        <v>0</v>
      </c>
      <c r="H35" s="631" t="str">
        <f t="shared" si="10"/>
        <v/>
      </c>
      <c r="I35" s="632" t="str">
        <f t="shared" si="11"/>
        <v/>
      </c>
      <c r="J35" s="610" t="str">
        <f t="shared" si="2"/>
        <v/>
      </c>
      <c r="K35" s="609">
        <f t="shared" si="12"/>
        <v>0</v>
      </c>
      <c r="L35" s="610">
        <f t="shared" si="13"/>
        <v>0</v>
      </c>
      <c r="M35" s="625">
        <f t="shared" si="14"/>
        <v>0</v>
      </c>
      <c r="N35" s="612">
        <f t="shared" si="6"/>
        <v>0</v>
      </c>
      <c r="O35" s="626">
        <f t="shared" si="7"/>
        <v>0</v>
      </c>
      <c r="P35" s="614">
        <f>IF($E$4="",0,IF($O35=0,0,VLOOKUP($O35,'3-1.標準報酬月額・保険料表'!$N$8:$O$57,2,TRUE)))</f>
        <v>0</v>
      </c>
      <c r="Q35" s="627">
        <f t="shared" si="8"/>
        <v>0</v>
      </c>
      <c r="R35" s="628">
        <f>IF($E$4="",0,IF($Q35=0,0,VLOOKUP($Q35,'3-1.標準報酬月額・保険料表'!$N$8:$O$57,2,TRUE)))</f>
        <v>0</v>
      </c>
      <c r="S35" s="613">
        <f t="shared" si="9"/>
        <v>0</v>
      </c>
      <c r="T35" s="617">
        <f>IF($E$4="",0,IF($S35=0,0,VLOOKUP($S35,'3-1.標準報酬月額・保険料表'!$N$8:$O$57,2,TRUE)))</f>
        <v>0</v>
      </c>
      <c r="U35" s="629">
        <f t="shared" si="3"/>
        <v>0</v>
      </c>
      <c r="V35" s="619">
        <f t="shared" si="4"/>
        <v>0</v>
      </c>
      <c r="W35" s="620">
        <f t="shared" si="5"/>
        <v>0</v>
      </c>
    </row>
    <row r="36" spans="2:23" ht="21.95" customHeight="1" x14ac:dyDescent="0.15">
      <c r="B36" s="602">
        <v>22</v>
      </c>
      <c r="C36" s="621" t="str">
        <f t="shared" si="0"/>
        <v/>
      </c>
      <c r="D36" s="630" t="str">
        <f t="shared" si="1"/>
        <v/>
      </c>
      <c r="E36" s="605">
        <f>IF($E$4="","",IF(AND($I36&gt;=20,$D36=88,'4-1.参照シートー１'!$R36&lt;=104000),($P36+$V36)*$G$12,0))</f>
        <v>0</v>
      </c>
      <c r="F36" s="648">
        <f>IF('4-1.参照シートー１'!$G36="","",'4-1.参照シートー１'!$G36)</f>
        <v>0</v>
      </c>
      <c r="G36" s="633">
        <f>IF($E$4="","",IF(AND($I36&gt;=20,$D36=88,'4-1.参照シートー１'!$R36&gt;104000),($R36+$V36)*$G$12,0))</f>
        <v>0</v>
      </c>
      <c r="H36" s="631" t="str">
        <f t="shared" si="10"/>
        <v/>
      </c>
      <c r="I36" s="632" t="str">
        <f t="shared" si="11"/>
        <v/>
      </c>
      <c r="J36" s="610" t="str">
        <f t="shared" si="2"/>
        <v/>
      </c>
      <c r="K36" s="609">
        <f t="shared" si="12"/>
        <v>0</v>
      </c>
      <c r="L36" s="610">
        <f t="shared" si="13"/>
        <v>0</v>
      </c>
      <c r="M36" s="625">
        <f t="shared" si="14"/>
        <v>0</v>
      </c>
      <c r="N36" s="612">
        <f t="shared" si="6"/>
        <v>0</v>
      </c>
      <c r="O36" s="626">
        <f t="shared" si="7"/>
        <v>0</v>
      </c>
      <c r="P36" s="614">
        <f>IF($E$4="",0,IF($O36=0,0,VLOOKUP($O36,'3-1.標準報酬月額・保険料表'!$N$8:$O$57,2,TRUE)))</f>
        <v>0</v>
      </c>
      <c r="Q36" s="627">
        <f t="shared" si="8"/>
        <v>0</v>
      </c>
      <c r="R36" s="628">
        <f>IF($E$4="",0,IF($Q36=0,0,VLOOKUP($Q36,'3-1.標準報酬月額・保険料表'!$N$8:$O$57,2,TRUE)))</f>
        <v>0</v>
      </c>
      <c r="S36" s="613">
        <f t="shared" si="9"/>
        <v>0</v>
      </c>
      <c r="T36" s="617">
        <f>IF($E$4="",0,IF($S36=0,0,VLOOKUP($S36,'3-1.標準報酬月額・保険料表'!$N$8:$O$57,2,TRUE)))</f>
        <v>0</v>
      </c>
      <c r="U36" s="629">
        <f t="shared" si="3"/>
        <v>0</v>
      </c>
      <c r="V36" s="619">
        <f t="shared" si="4"/>
        <v>0</v>
      </c>
      <c r="W36" s="620">
        <f t="shared" si="5"/>
        <v>0</v>
      </c>
    </row>
    <row r="37" spans="2:23" ht="21.95" customHeight="1" x14ac:dyDescent="0.15">
      <c r="B37" s="602">
        <v>23</v>
      </c>
      <c r="C37" s="621" t="str">
        <f t="shared" si="0"/>
        <v/>
      </c>
      <c r="D37" s="630" t="str">
        <f t="shared" si="1"/>
        <v/>
      </c>
      <c r="E37" s="605">
        <f>IF($E$4="","",IF(AND($I37&gt;=20,$D37=88,'4-1.参照シートー１'!$R37&lt;=104000),($P37+$V37)*$G$12,0))</f>
        <v>0</v>
      </c>
      <c r="F37" s="648">
        <f>IF('4-1.参照シートー１'!$G37="","",'4-1.参照シートー１'!$G37)</f>
        <v>0</v>
      </c>
      <c r="G37" s="633">
        <f>IF($E$4="","",IF(AND($I37&gt;=20,$D37=88,'4-1.参照シートー１'!$R37&gt;104000),($R37+$V37)*$G$12,0))</f>
        <v>0</v>
      </c>
      <c r="H37" s="631" t="str">
        <f t="shared" si="10"/>
        <v/>
      </c>
      <c r="I37" s="632" t="str">
        <f t="shared" si="11"/>
        <v/>
      </c>
      <c r="J37" s="610" t="str">
        <f t="shared" si="2"/>
        <v/>
      </c>
      <c r="K37" s="609">
        <f t="shared" si="12"/>
        <v>0</v>
      </c>
      <c r="L37" s="610">
        <f t="shared" si="13"/>
        <v>0</v>
      </c>
      <c r="M37" s="625">
        <f t="shared" si="14"/>
        <v>0</v>
      </c>
      <c r="N37" s="612">
        <f t="shared" si="6"/>
        <v>0</v>
      </c>
      <c r="O37" s="626">
        <f t="shared" si="7"/>
        <v>0</v>
      </c>
      <c r="P37" s="614">
        <f>IF($E$4="",0,IF($O37=0,0,VLOOKUP($O37,'3-1.標準報酬月額・保険料表'!$N$8:$O$57,2,TRUE)))</f>
        <v>0</v>
      </c>
      <c r="Q37" s="627">
        <f t="shared" si="8"/>
        <v>0</v>
      </c>
      <c r="R37" s="628">
        <f>IF($E$4="",0,IF($Q37=0,0,VLOOKUP($Q37,'3-1.標準報酬月額・保険料表'!$N$8:$O$57,2,TRUE)))</f>
        <v>0</v>
      </c>
      <c r="S37" s="613">
        <f t="shared" si="9"/>
        <v>0</v>
      </c>
      <c r="T37" s="617">
        <f>IF($E$4="",0,IF($S37=0,0,VLOOKUP($S37,'3-1.標準報酬月額・保険料表'!$N$8:$O$57,2,TRUE)))</f>
        <v>0</v>
      </c>
      <c r="U37" s="629">
        <f t="shared" si="3"/>
        <v>0</v>
      </c>
      <c r="V37" s="619">
        <f t="shared" si="4"/>
        <v>0</v>
      </c>
      <c r="W37" s="620">
        <f t="shared" si="5"/>
        <v>0</v>
      </c>
    </row>
    <row r="38" spans="2:23" ht="21.95" customHeight="1" x14ac:dyDescent="0.15">
      <c r="B38" s="602">
        <v>24</v>
      </c>
      <c r="C38" s="621" t="str">
        <f t="shared" si="0"/>
        <v/>
      </c>
      <c r="D38" s="630" t="str">
        <f t="shared" si="1"/>
        <v/>
      </c>
      <c r="E38" s="605">
        <f>IF($E$4="","",IF(AND($I38&gt;=20,$D38=88,'4-1.参照シートー１'!$R38&lt;=104000),($P38+$V38)*$G$12,0))</f>
        <v>0</v>
      </c>
      <c r="F38" s="648">
        <f>IF('4-1.参照シートー１'!$G38="","",'4-1.参照シートー１'!$G38)</f>
        <v>0</v>
      </c>
      <c r="G38" s="633">
        <f>IF($E$4="","",IF(AND($I38&gt;=20,$D38=88,'4-1.参照シートー１'!$R38&gt;104000),($R38+$V38)*$G$12,0))</f>
        <v>0</v>
      </c>
      <c r="H38" s="631" t="str">
        <f t="shared" si="10"/>
        <v/>
      </c>
      <c r="I38" s="632" t="str">
        <f t="shared" si="11"/>
        <v/>
      </c>
      <c r="J38" s="610" t="str">
        <f t="shared" si="2"/>
        <v/>
      </c>
      <c r="K38" s="609">
        <f t="shared" si="12"/>
        <v>0</v>
      </c>
      <c r="L38" s="610">
        <f t="shared" si="13"/>
        <v>0</v>
      </c>
      <c r="M38" s="625">
        <f t="shared" si="14"/>
        <v>0</v>
      </c>
      <c r="N38" s="612">
        <f t="shared" si="6"/>
        <v>0</v>
      </c>
      <c r="O38" s="626">
        <f t="shared" si="7"/>
        <v>0</v>
      </c>
      <c r="P38" s="614">
        <f>IF($E$4="",0,IF($O38=0,0,VLOOKUP($O38,'3-1.標準報酬月額・保険料表'!$N$8:$O$57,2,TRUE)))</f>
        <v>0</v>
      </c>
      <c r="Q38" s="627">
        <f t="shared" si="8"/>
        <v>0</v>
      </c>
      <c r="R38" s="628">
        <f>IF($E$4="",0,IF($Q38=0,0,VLOOKUP($Q38,'3-1.標準報酬月額・保険料表'!$N$8:$O$57,2,TRUE)))</f>
        <v>0</v>
      </c>
      <c r="S38" s="613">
        <f t="shared" si="9"/>
        <v>0</v>
      </c>
      <c r="T38" s="617">
        <f>IF($E$4="",0,IF($S38=0,0,VLOOKUP($S38,'3-1.標準報酬月額・保険料表'!$N$8:$O$57,2,TRUE)))</f>
        <v>0</v>
      </c>
      <c r="U38" s="629">
        <f t="shared" si="3"/>
        <v>0</v>
      </c>
      <c r="V38" s="619">
        <f t="shared" si="4"/>
        <v>0</v>
      </c>
      <c r="W38" s="620">
        <f t="shared" si="5"/>
        <v>0</v>
      </c>
    </row>
    <row r="39" spans="2:23" ht="21.95" customHeight="1" x14ac:dyDescent="0.15">
      <c r="B39" s="602">
        <v>25</v>
      </c>
      <c r="C39" s="621" t="str">
        <f t="shared" si="0"/>
        <v/>
      </c>
      <c r="D39" s="630" t="str">
        <f t="shared" si="1"/>
        <v/>
      </c>
      <c r="E39" s="605">
        <f>IF($E$4="","",IF(AND($I39&gt;=20,$D39=88,'4-1.参照シートー１'!$R39&lt;=104000),($P39+$V39)*$G$12,0))</f>
        <v>0</v>
      </c>
      <c r="F39" s="648">
        <f>IF('4-1.参照シートー１'!$G39="","",'4-1.参照シートー１'!$G39)</f>
        <v>0</v>
      </c>
      <c r="G39" s="633">
        <f>IF($E$4="","",IF(AND($I39&gt;=20,$D39=88,'4-1.参照シートー１'!$R39&gt;104000),($R39+$V39)*$G$12,0))</f>
        <v>0</v>
      </c>
      <c r="H39" s="631" t="str">
        <f t="shared" si="10"/>
        <v/>
      </c>
      <c r="I39" s="632" t="str">
        <f t="shared" si="11"/>
        <v/>
      </c>
      <c r="J39" s="610" t="str">
        <f t="shared" si="2"/>
        <v/>
      </c>
      <c r="K39" s="609">
        <f t="shared" si="12"/>
        <v>0</v>
      </c>
      <c r="L39" s="610">
        <f t="shared" si="13"/>
        <v>0</v>
      </c>
      <c r="M39" s="625">
        <f t="shared" si="14"/>
        <v>0</v>
      </c>
      <c r="N39" s="612">
        <f t="shared" si="6"/>
        <v>0</v>
      </c>
      <c r="O39" s="626">
        <f t="shared" si="7"/>
        <v>0</v>
      </c>
      <c r="P39" s="614">
        <f>IF($E$4="",0,IF($O39=0,0,VLOOKUP($O39,'3-1.標準報酬月額・保険料表'!$N$8:$O$57,2,TRUE)))</f>
        <v>0</v>
      </c>
      <c r="Q39" s="627">
        <f t="shared" si="8"/>
        <v>0</v>
      </c>
      <c r="R39" s="628">
        <f>IF($E$4="",0,IF($Q39=0,0,VLOOKUP($Q39,'3-1.標準報酬月額・保険料表'!$N$8:$O$57,2,TRUE)))</f>
        <v>0</v>
      </c>
      <c r="S39" s="613">
        <f t="shared" si="9"/>
        <v>0</v>
      </c>
      <c r="T39" s="617">
        <f>IF($E$4="",0,IF($S39=0,0,VLOOKUP($S39,'3-1.標準報酬月額・保険料表'!$N$8:$O$57,2,TRUE)))</f>
        <v>0</v>
      </c>
      <c r="U39" s="629">
        <f t="shared" si="3"/>
        <v>0</v>
      </c>
      <c r="V39" s="619">
        <f t="shared" si="4"/>
        <v>0</v>
      </c>
      <c r="W39" s="620">
        <f t="shared" si="5"/>
        <v>0</v>
      </c>
    </row>
    <row r="40" spans="2:23" ht="21.95" customHeight="1" x14ac:dyDescent="0.15">
      <c r="B40" s="602">
        <v>26</v>
      </c>
      <c r="C40" s="621" t="str">
        <f t="shared" si="0"/>
        <v/>
      </c>
      <c r="D40" s="630" t="str">
        <f t="shared" si="1"/>
        <v/>
      </c>
      <c r="E40" s="605">
        <f>IF($E$4="","",IF(AND($I40&gt;=20,$D40=88,'4-1.参照シートー１'!$R40&lt;=104000),($P40+$V40)*$G$12,0))</f>
        <v>0</v>
      </c>
      <c r="F40" s="648">
        <f>IF('4-1.参照シートー１'!$G40="","",'4-1.参照シートー１'!$G40)</f>
        <v>0</v>
      </c>
      <c r="G40" s="633">
        <f>IF($E$4="","",IF(AND($I40&gt;=20,$D40=88,'4-1.参照シートー１'!$R40&gt;104000),($R40+$V40)*$G$12,0))</f>
        <v>0</v>
      </c>
      <c r="H40" s="631" t="str">
        <f t="shared" si="10"/>
        <v/>
      </c>
      <c r="I40" s="632" t="str">
        <f t="shared" si="11"/>
        <v/>
      </c>
      <c r="J40" s="610" t="str">
        <f t="shared" si="2"/>
        <v/>
      </c>
      <c r="K40" s="609">
        <f t="shared" si="12"/>
        <v>0</v>
      </c>
      <c r="L40" s="610">
        <f t="shared" si="13"/>
        <v>0</v>
      </c>
      <c r="M40" s="625">
        <f t="shared" si="14"/>
        <v>0</v>
      </c>
      <c r="N40" s="612">
        <f t="shared" si="6"/>
        <v>0</v>
      </c>
      <c r="O40" s="626">
        <f t="shared" si="7"/>
        <v>0</v>
      </c>
      <c r="P40" s="614">
        <f>IF($E$4="",0,IF($O40=0,0,VLOOKUP($O40,'3-1.標準報酬月額・保険料表'!$N$8:$O$57,2,TRUE)))</f>
        <v>0</v>
      </c>
      <c r="Q40" s="627">
        <f t="shared" si="8"/>
        <v>0</v>
      </c>
      <c r="R40" s="628">
        <f>IF($E$4="",0,IF($Q40=0,0,VLOOKUP($Q40,'3-1.標準報酬月額・保険料表'!$N$8:$O$57,2,TRUE)))</f>
        <v>0</v>
      </c>
      <c r="S40" s="613">
        <f t="shared" si="9"/>
        <v>0</v>
      </c>
      <c r="T40" s="617">
        <f>IF($E$4="",0,IF($S40=0,0,VLOOKUP($S40,'3-1.標準報酬月額・保険料表'!$N$8:$O$57,2,TRUE)))</f>
        <v>0</v>
      </c>
      <c r="U40" s="629">
        <f t="shared" si="3"/>
        <v>0</v>
      </c>
      <c r="V40" s="619">
        <f t="shared" si="4"/>
        <v>0</v>
      </c>
      <c r="W40" s="620">
        <f t="shared" si="5"/>
        <v>0</v>
      </c>
    </row>
    <row r="41" spans="2:23" ht="21.95" customHeight="1" x14ac:dyDescent="0.15">
      <c r="B41" s="602">
        <v>27</v>
      </c>
      <c r="C41" s="621" t="str">
        <f t="shared" si="0"/>
        <v/>
      </c>
      <c r="D41" s="630" t="str">
        <f t="shared" si="1"/>
        <v/>
      </c>
      <c r="E41" s="605">
        <f>IF($E$4="","",IF(AND($I41&gt;=20,$D41=88,'4-1.参照シートー１'!$R41&lt;=104000),($P41+$V41)*$G$12,0))</f>
        <v>0</v>
      </c>
      <c r="F41" s="648">
        <f>IF('4-1.参照シートー１'!$G41="","",'4-1.参照シートー１'!$G41)</f>
        <v>0</v>
      </c>
      <c r="G41" s="633">
        <f>IF($E$4="","",IF(AND($I41&gt;=20,$D41=88,'4-1.参照シートー１'!$R41&gt;104000),($R41+$V41)*$G$12,0))</f>
        <v>0</v>
      </c>
      <c r="H41" s="631" t="str">
        <f t="shared" si="10"/>
        <v/>
      </c>
      <c r="I41" s="632" t="str">
        <f t="shared" si="11"/>
        <v/>
      </c>
      <c r="J41" s="610" t="str">
        <f t="shared" si="2"/>
        <v/>
      </c>
      <c r="K41" s="609">
        <f t="shared" si="12"/>
        <v>0</v>
      </c>
      <c r="L41" s="610">
        <f t="shared" si="13"/>
        <v>0</v>
      </c>
      <c r="M41" s="625">
        <f t="shared" si="14"/>
        <v>0</v>
      </c>
      <c r="N41" s="612">
        <f t="shared" si="6"/>
        <v>0</v>
      </c>
      <c r="O41" s="626">
        <f t="shared" si="7"/>
        <v>0</v>
      </c>
      <c r="P41" s="614">
        <f>IF($E$4="",0,IF($O41=0,0,VLOOKUP($O41,'3-1.標準報酬月額・保険料表'!$N$8:$O$57,2,TRUE)))</f>
        <v>0</v>
      </c>
      <c r="Q41" s="627">
        <f t="shared" si="8"/>
        <v>0</v>
      </c>
      <c r="R41" s="628">
        <f>IF($E$4="",0,IF($Q41=0,0,VLOOKUP($Q41,'3-1.標準報酬月額・保険料表'!$N$8:$O$57,2,TRUE)))</f>
        <v>0</v>
      </c>
      <c r="S41" s="613">
        <f t="shared" si="9"/>
        <v>0</v>
      </c>
      <c r="T41" s="617">
        <f>IF($E$4="",0,IF($S41=0,0,VLOOKUP($S41,'3-1.標準報酬月額・保険料表'!$N$8:$O$57,2,TRUE)))</f>
        <v>0</v>
      </c>
      <c r="U41" s="629">
        <f t="shared" si="3"/>
        <v>0</v>
      </c>
      <c r="V41" s="619">
        <f t="shared" si="4"/>
        <v>0</v>
      </c>
      <c r="W41" s="620">
        <f t="shared" si="5"/>
        <v>0</v>
      </c>
    </row>
    <row r="42" spans="2:23" ht="21.95" customHeight="1" x14ac:dyDescent="0.15">
      <c r="B42" s="602">
        <v>28</v>
      </c>
      <c r="C42" s="621" t="str">
        <f t="shared" si="0"/>
        <v/>
      </c>
      <c r="D42" s="630" t="str">
        <f t="shared" si="1"/>
        <v/>
      </c>
      <c r="E42" s="605">
        <f>IF($E$4="","",IF(AND($I42&gt;=20,$D42=88,'4-1.参照シートー１'!$R42&lt;=104000),($P42+$V42)*$G$12,0))</f>
        <v>0</v>
      </c>
      <c r="F42" s="648">
        <f>IF('4-1.参照シートー１'!$G42="","",'4-1.参照シートー１'!$G42)</f>
        <v>0</v>
      </c>
      <c r="G42" s="633">
        <f>IF($E$4="","",IF(AND($I42&gt;=20,$D42=88,'4-1.参照シートー１'!$R42&gt;104000),($R42+$V42)*$G$12,0))</f>
        <v>0</v>
      </c>
      <c r="H42" s="631" t="str">
        <f t="shared" si="10"/>
        <v/>
      </c>
      <c r="I42" s="632" t="str">
        <f t="shared" si="11"/>
        <v/>
      </c>
      <c r="J42" s="610" t="str">
        <f t="shared" si="2"/>
        <v/>
      </c>
      <c r="K42" s="609">
        <f t="shared" si="12"/>
        <v>0</v>
      </c>
      <c r="L42" s="610">
        <f t="shared" si="13"/>
        <v>0</v>
      </c>
      <c r="M42" s="625">
        <f t="shared" si="14"/>
        <v>0</v>
      </c>
      <c r="N42" s="612">
        <f t="shared" si="6"/>
        <v>0</v>
      </c>
      <c r="O42" s="626">
        <f t="shared" si="7"/>
        <v>0</v>
      </c>
      <c r="P42" s="614">
        <f>IF($E$4="",0,IF($O42=0,0,VLOOKUP($O42,'3-1.標準報酬月額・保険料表'!$N$8:$O$57,2,TRUE)))</f>
        <v>0</v>
      </c>
      <c r="Q42" s="627">
        <f t="shared" si="8"/>
        <v>0</v>
      </c>
      <c r="R42" s="628">
        <f>IF($E$4="",0,IF($Q42=0,0,VLOOKUP($Q42,'3-1.標準報酬月額・保険料表'!$N$8:$O$57,2,TRUE)))</f>
        <v>0</v>
      </c>
      <c r="S42" s="613">
        <f t="shared" si="9"/>
        <v>0</v>
      </c>
      <c r="T42" s="617">
        <f>IF($E$4="",0,IF($S42=0,0,VLOOKUP($S42,'3-1.標準報酬月額・保険料表'!$N$8:$O$57,2,TRUE)))</f>
        <v>0</v>
      </c>
      <c r="U42" s="629">
        <f t="shared" si="3"/>
        <v>0</v>
      </c>
      <c r="V42" s="619">
        <f t="shared" si="4"/>
        <v>0</v>
      </c>
      <c r="W42" s="620">
        <f t="shared" si="5"/>
        <v>0</v>
      </c>
    </row>
    <row r="43" spans="2:23" ht="21.95" customHeight="1" x14ac:dyDescent="0.15">
      <c r="B43" s="602">
        <v>29</v>
      </c>
      <c r="C43" s="621" t="str">
        <f t="shared" si="0"/>
        <v/>
      </c>
      <c r="D43" s="630" t="str">
        <f t="shared" si="1"/>
        <v/>
      </c>
      <c r="E43" s="605">
        <f>IF($E$4="","",IF(AND($I43&gt;=20,$D43=88,'4-1.参照シートー１'!$R43&lt;=104000),($P43+$V43)*$G$12,0))</f>
        <v>0</v>
      </c>
      <c r="F43" s="648">
        <f>IF('4-1.参照シートー１'!$G43="","",'4-1.参照シートー１'!$G43)</f>
        <v>0</v>
      </c>
      <c r="G43" s="633">
        <f>IF($E$4="","",IF(AND($I43&gt;=20,$D43=88,'4-1.参照シートー１'!$R43&gt;104000),($R43+$V43)*$G$12,0))</f>
        <v>0</v>
      </c>
      <c r="H43" s="631" t="str">
        <f t="shared" si="10"/>
        <v/>
      </c>
      <c r="I43" s="632" t="str">
        <f t="shared" si="11"/>
        <v/>
      </c>
      <c r="J43" s="610" t="str">
        <f t="shared" si="2"/>
        <v/>
      </c>
      <c r="K43" s="609">
        <f t="shared" si="12"/>
        <v>0</v>
      </c>
      <c r="L43" s="610">
        <f t="shared" si="13"/>
        <v>0</v>
      </c>
      <c r="M43" s="625">
        <f t="shared" si="14"/>
        <v>0</v>
      </c>
      <c r="N43" s="612">
        <f t="shared" si="6"/>
        <v>0</v>
      </c>
      <c r="O43" s="626">
        <f t="shared" si="7"/>
        <v>0</v>
      </c>
      <c r="P43" s="614">
        <f>IF($E$4="",0,IF($O43=0,0,VLOOKUP($O43,'3-1.標準報酬月額・保険料表'!$N$8:$O$57,2,TRUE)))</f>
        <v>0</v>
      </c>
      <c r="Q43" s="627">
        <f t="shared" si="8"/>
        <v>0</v>
      </c>
      <c r="R43" s="628">
        <f>IF($E$4="",0,IF($Q43=0,0,VLOOKUP($Q43,'3-1.標準報酬月額・保険料表'!$N$8:$O$57,2,TRUE)))</f>
        <v>0</v>
      </c>
      <c r="S43" s="613">
        <f t="shared" si="9"/>
        <v>0</v>
      </c>
      <c r="T43" s="617">
        <f>IF($E$4="",0,IF($S43=0,0,VLOOKUP($S43,'3-1.標準報酬月額・保険料表'!$N$8:$O$57,2,TRUE)))</f>
        <v>0</v>
      </c>
      <c r="U43" s="629">
        <f t="shared" si="3"/>
        <v>0</v>
      </c>
      <c r="V43" s="619">
        <f t="shared" si="4"/>
        <v>0</v>
      </c>
      <c r="W43" s="620">
        <f t="shared" si="5"/>
        <v>0</v>
      </c>
    </row>
    <row r="44" spans="2:23" ht="21.95" customHeight="1" thickBot="1" x14ac:dyDescent="0.2">
      <c r="B44" s="602">
        <v>30</v>
      </c>
      <c r="C44" s="634" t="str">
        <f t="shared" si="0"/>
        <v/>
      </c>
      <c r="D44" s="635" t="str">
        <f t="shared" si="1"/>
        <v/>
      </c>
      <c r="E44" s="605">
        <f>IF($E$4="","",IF(AND($I44&gt;=20,$D44=88,'4-1.参照シートー１'!$R44&lt;=104000),($P44+$V44)*$G$12,0))</f>
        <v>0</v>
      </c>
      <c r="F44" s="648">
        <f>IF('4-1.参照シートー１'!$G44="","",'4-1.参照シートー１'!$G44)</f>
        <v>0</v>
      </c>
      <c r="G44" s="633">
        <f>IF($E$4="","",IF(AND($I44&gt;=20,$D44=88,'4-1.参照シートー１'!$R44&gt;104000),($R44+$V44)*$G$12,0))</f>
        <v>0</v>
      </c>
      <c r="H44" s="631" t="str">
        <f t="shared" si="10"/>
        <v/>
      </c>
      <c r="I44" s="632" t="str">
        <f t="shared" si="11"/>
        <v/>
      </c>
      <c r="J44" s="610" t="str">
        <f t="shared" si="2"/>
        <v/>
      </c>
      <c r="K44" s="609">
        <f t="shared" si="12"/>
        <v>0</v>
      </c>
      <c r="L44" s="610">
        <f t="shared" si="13"/>
        <v>0</v>
      </c>
      <c r="M44" s="636">
        <f t="shared" si="14"/>
        <v>0</v>
      </c>
      <c r="N44" s="612">
        <f t="shared" si="6"/>
        <v>0</v>
      </c>
      <c r="O44" s="637">
        <f t="shared" si="7"/>
        <v>0</v>
      </c>
      <c r="P44" s="638">
        <f>IF($E$4="",0,IF($O44=0,0,VLOOKUP($O44,'3-1.標準報酬月額・保険料表'!$N$8:$O$57,2,TRUE)))</f>
        <v>0</v>
      </c>
      <c r="Q44" s="639">
        <f t="shared" si="8"/>
        <v>0</v>
      </c>
      <c r="R44" s="640">
        <f>IF($E$4="",0,IF($Q44=0,0,VLOOKUP($Q44,'3-1.標準報酬月額・保険料表'!$N$8:$O$57,2,TRUE)))</f>
        <v>0</v>
      </c>
      <c r="S44" s="641">
        <f t="shared" si="9"/>
        <v>0</v>
      </c>
      <c r="T44" s="642">
        <f>IF($E$4="",0,IF($S44=0,0,VLOOKUP($S44,'3-1.標準報酬月額・保険料表'!$N$8:$O$57,2,TRUE)))</f>
        <v>0</v>
      </c>
      <c r="U44" s="629">
        <f t="shared" si="3"/>
        <v>0</v>
      </c>
      <c r="V44" s="643">
        <f t="shared" si="4"/>
        <v>0</v>
      </c>
      <c r="W44" s="620">
        <f t="shared" si="5"/>
        <v>0</v>
      </c>
    </row>
  </sheetData>
  <sheetProtection algorithmName="SHA-512" hashValue="9K6A+JPEDlfslmXBMX5LvQja2gmhToDF1fdd1LEg+g3zVCaQseSvQDWv07Z84CAzx7ZLQ35M/x503mW28gFjqA==" saltValue="6iFhk0RghGksABJTQzxplQ==" spinCount="100000" sheet="1" objects="1" scenarios="1"/>
  <mergeCells count="14">
    <mergeCell ref="Q13:R13"/>
    <mergeCell ref="S13:T13"/>
    <mergeCell ref="G10:H11"/>
    <mergeCell ref="S10:T10"/>
    <mergeCell ref="S11:T11"/>
    <mergeCell ref="G12:H12"/>
    <mergeCell ref="C5:E5"/>
    <mergeCell ref="M8:N8"/>
    <mergeCell ref="S8:U8"/>
    <mergeCell ref="S9:T9"/>
    <mergeCell ref="M4:M5"/>
    <mergeCell ref="N4:N5"/>
    <mergeCell ref="O4:O5"/>
    <mergeCell ref="P4:P5"/>
  </mergeCells>
  <phoneticPr fontId="3"/>
  <conditionalFormatting sqref="K15:K44">
    <cfRule type="expression" dxfId="5" priority="1">
      <formula>$K15&lt;88000</formula>
    </cfRule>
  </conditionalFormatting>
  <conditionalFormatting sqref="N15:N44">
    <cfRule type="expression" dxfId="4" priority="2">
      <formula>N15&gt;=$M$13</formula>
    </cfRule>
    <cfRule type="expression" dxfId="3" priority="3">
      <formula>N15&gt;=M$12</formula>
    </cfRule>
    <cfRule type="expression" dxfId="2" priority="4">
      <formula>N15&gt;$M$11</formula>
    </cfRule>
    <cfRule type="expression" dxfId="1" priority="5">
      <formula>N15&gt;$M$10</formula>
    </cfRule>
    <cfRule type="expression" dxfId="0" priority="6">
      <formula>N15&lt;=$M$9</formula>
    </cfRule>
  </conditionalFormatting>
  <pageMargins left="0.59055118110236227" right="0.59055118110236227" top="0.78740157480314965" bottom="0.59055118110236227" header="0.51181102362204722" footer="0.51181102362204722"/>
  <pageSetup paperSize="9" scale="70" pageOrder="overThenDown" orientation="landscape" r:id="rId1"/>
  <headerFooter alignWithMargins="0">
    <oddFooter>&amp;C&amp;P</oddFooter>
  </headerFooter>
  <rowBreaks count="1" manualBreakCount="1">
    <brk id="29" max="4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FFFF"/>
  </sheetPr>
  <dimension ref="B1:O60"/>
  <sheetViews>
    <sheetView showGridLines="0" zoomScale="110" zoomScaleNormal="110" workbookViewId="0">
      <selection activeCell="G2" sqref="G2"/>
    </sheetView>
  </sheetViews>
  <sheetFormatPr defaultRowHeight="13.5" x14ac:dyDescent="0.15"/>
  <cols>
    <col min="1" max="1" width="2.375" customWidth="1"/>
    <col min="2" max="3" width="2.875" customWidth="1"/>
    <col min="4" max="4" width="10.875" customWidth="1"/>
    <col min="5" max="5" width="10.625" customWidth="1"/>
    <col min="6" max="6" width="4.375" customWidth="1"/>
    <col min="7" max="7" width="10.625" customWidth="1"/>
    <col min="8" max="8" width="4.375" customWidth="1"/>
    <col min="9" max="12" width="11.25" customWidth="1"/>
    <col min="13" max="13" width="2.75" customWidth="1"/>
    <col min="14" max="14" width="12.125" style="3" customWidth="1"/>
    <col min="15" max="15" width="14.25" style="3" customWidth="1"/>
  </cols>
  <sheetData>
    <row r="1" spans="2:15" s="2" customFormat="1" ht="28.5" customHeight="1" x14ac:dyDescent="0.15">
      <c r="D1" s="2">
        <v>1</v>
      </c>
      <c r="E1" s="2">
        <v>2</v>
      </c>
      <c r="F1" s="2">
        <v>3</v>
      </c>
      <c r="G1" s="2">
        <v>4</v>
      </c>
      <c r="H1" s="2">
        <v>5</v>
      </c>
      <c r="I1" s="2">
        <v>6</v>
      </c>
      <c r="J1" s="2">
        <v>7</v>
      </c>
      <c r="K1" s="2">
        <v>8</v>
      </c>
      <c r="L1" s="2">
        <v>9</v>
      </c>
      <c r="N1" s="7"/>
      <c r="O1" s="7"/>
    </row>
    <row r="2" spans="2:15" ht="14.25" thickBot="1" x14ac:dyDescent="0.2">
      <c r="D2" s="5" t="s">
        <v>25</v>
      </c>
      <c r="I2" t="str">
        <f>'2-2.保険料・地方税等入力画面'!J4</f>
        <v>（令和５年３月１日現在）</v>
      </c>
      <c r="L2" s="6"/>
    </row>
    <row r="3" spans="2:15" ht="18.75" x14ac:dyDescent="0.2">
      <c r="B3" s="4" t="s">
        <v>23</v>
      </c>
      <c r="E3" s="1"/>
      <c r="I3" s="9" t="s">
        <v>21</v>
      </c>
      <c r="J3" s="10" t="s">
        <v>21</v>
      </c>
      <c r="K3" s="10" t="s">
        <v>21</v>
      </c>
      <c r="L3" s="11" t="s">
        <v>21</v>
      </c>
    </row>
    <row r="4" spans="2:15" ht="19.5" thickBot="1" x14ac:dyDescent="0.25">
      <c r="E4" s="1"/>
      <c r="I4" s="710">
        <f>'2-2.保険料・地方税等入力画面'!G7</f>
        <v>0.10290000000000001</v>
      </c>
      <c r="J4" s="710">
        <f>'2-2.保険料・地方税等入力画面'!H7</f>
        <v>0.1211</v>
      </c>
      <c r="K4" s="710">
        <f>'2-2.保険料・地方税等入力画面'!I7</f>
        <v>1.8199999999999994E-2</v>
      </c>
      <c r="L4" s="710">
        <f>'2-2.保険料・地方税等入力画面'!J7</f>
        <v>0.183</v>
      </c>
      <c r="N4" s="711"/>
    </row>
    <row r="5" spans="2:15" ht="19.5" customHeight="1" x14ac:dyDescent="0.15">
      <c r="B5" s="1039" t="s">
        <v>1</v>
      </c>
      <c r="C5" s="1040"/>
      <c r="D5" s="1041"/>
      <c r="E5" s="712"/>
      <c r="F5" s="712"/>
      <c r="G5" s="712"/>
      <c r="H5" s="712"/>
      <c r="I5" s="1042" t="s">
        <v>24</v>
      </c>
      <c r="J5" s="1040"/>
      <c r="K5" s="1040"/>
      <c r="L5" s="1043"/>
      <c r="N5" s="713"/>
      <c r="O5" s="8"/>
    </row>
    <row r="6" spans="2:15" ht="17.100000000000001" customHeight="1" thickBot="1" x14ac:dyDescent="0.2">
      <c r="B6" s="714" t="s">
        <v>2</v>
      </c>
      <c r="C6" s="715"/>
      <c r="D6" s="716" t="s">
        <v>3</v>
      </c>
      <c r="E6" s="1044" t="s">
        <v>4</v>
      </c>
      <c r="F6" s="1045"/>
      <c r="G6" s="1045"/>
      <c r="H6" s="1045"/>
      <c r="I6" s="717" t="s">
        <v>5</v>
      </c>
      <c r="J6" s="717" t="s">
        <v>5</v>
      </c>
      <c r="K6" s="716" t="s">
        <v>6</v>
      </c>
      <c r="L6" s="718" t="s">
        <v>7</v>
      </c>
      <c r="N6" s="719" t="s">
        <v>30</v>
      </c>
    </row>
    <row r="7" spans="2:15" ht="17.100000000000001" customHeight="1" thickBot="1" x14ac:dyDescent="0.2">
      <c r="B7" s="720" t="s">
        <v>8</v>
      </c>
      <c r="C7" s="716" t="s">
        <v>9</v>
      </c>
      <c r="D7" s="721"/>
      <c r="E7" s="722"/>
      <c r="F7" s="722"/>
      <c r="G7" s="722"/>
      <c r="H7" s="722"/>
      <c r="I7" s="715" t="s">
        <v>10</v>
      </c>
      <c r="J7" s="715" t="s">
        <v>11</v>
      </c>
      <c r="K7" s="715" t="s">
        <v>12</v>
      </c>
      <c r="L7" s="723" t="s">
        <v>13</v>
      </c>
      <c r="N7" s="724" t="s">
        <v>26</v>
      </c>
      <c r="O7" s="12" t="s">
        <v>0</v>
      </c>
    </row>
    <row r="8" spans="2:15" ht="17.100000000000001" customHeight="1" x14ac:dyDescent="0.15">
      <c r="B8" s="725">
        <v>1</v>
      </c>
      <c r="C8" s="725"/>
      <c r="D8" s="726">
        <v>58000</v>
      </c>
      <c r="E8" s="727"/>
      <c r="F8" s="728" t="s">
        <v>14</v>
      </c>
      <c r="G8" s="729">
        <v>63000</v>
      </c>
      <c r="H8" s="730" t="s">
        <v>15</v>
      </c>
      <c r="I8" s="731">
        <f>$D8*I$4/2</f>
        <v>2984.1000000000004</v>
      </c>
      <c r="J8" s="731">
        <f t="shared" ref="J8:L23" si="0">$D8*J$4/2</f>
        <v>3511.9</v>
      </c>
      <c r="K8" s="731">
        <f>$D8*K$4/2</f>
        <v>527.79999999999984</v>
      </c>
      <c r="L8" s="732">
        <f>$D8*L$4/2</f>
        <v>5307</v>
      </c>
      <c r="N8" s="14">
        <v>0</v>
      </c>
      <c r="O8" s="13">
        <v>58000</v>
      </c>
    </row>
    <row r="9" spans="2:15" ht="17.100000000000001" customHeight="1" x14ac:dyDescent="0.15">
      <c r="B9" s="733">
        <v>2</v>
      </c>
      <c r="C9" s="733"/>
      <c r="D9" s="726">
        <v>68000</v>
      </c>
      <c r="E9" s="727">
        <v>63000</v>
      </c>
      <c r="F9" s="728" t="s">
        <v>14</v>
      </c>
      <c r="G9" s="729">
        <v>73000</v>
      </c>
      <c r="H9" s="730" t="s">
        <v>15</v>
      </c>
      <c r="I9" s="731">
        <f t="shared" ref="I9:L47" si="1">$D9*I$4/2</f>
        <v>3498.6000000000004</v>
      </c>
      <c r="J9" s="731">
        <f t="shared" si="0"/>
        <v>4117.3999999999996</v>
      </c>
      <c r="K9" s="731">
        <f t="shared" si="0"/>
        <v>618.79999999999984</v>
      </c>
      <c r="L9" s="732">
        <f t="shared" si="0"/>
        <v>6222</v>
      </c>
      <c r="N9" s="14">
        <v>63000</v>
      </c>
      <c r="O9" s="13">
        <v>68000</v>
      </c>
    </row>
    <row r="10" spans="2:15" ht="17.100000000000001" customHeight="1" x14ac:dyDescent="0.15">
      <c r="B10" s="733">
        <v>3</v>
      </c>
      <c r="C10" s="733"/>
      <c r="D10" s="726">
        <v>78000</v>
      </c>
      <c r="E10" s="727">
        <v>73000</v>
      </c>
      <c r="F10" s="728" t="s">
        <v>14</v>
      </c>
      <c r="G10" s="729">
        <v>83000</v>
      </c>
      <c r="H10" s="730" t="s">
        <v>15</v>
      </c>
      <c r="I10" s="731">
        <f t="shared" si="1"/>
        <v>4013.1000000000004</v>
      </c>
      <c r="J10" s="731">
        <f t="shared" si="0"/>
        <v>4722.8999999999996</v>
      </c>
      <c r="K10" s="731">
        <f t="shared" si="0"/>
        <v>709.79999999999973</v>
      </c>
      <c r="L10" s="732">
        <f t="shared" si="0"/>
        <v>7137</v>
      </c>
      <c r="N10" s="14">
        <v>73000</v>
      </c>
      <c r="O10" s="13">
        <v>78000</v>
      </c>
    </row>
    <row r="11" spans="2:15" ht="17.100000000000001" customHeight="1" x14ac:dyDescent="0.15">
      <c r="B11" s="733">
        <v>4</v>
      </c>
      <c r="C11" s="733">
        <v>1</v>
      </c>
      <c r="D11" s="726">
        <v>88000</v>
      </c>
      <c r="E11" s="727">
        <v>83000</v>
      </c>
      <c r="F11" s="728" t="s">
        <v>14</v>
      </c>
      <c r="G11" s="729">
        <f>E12</f>
        <v>93000</v>
      </c>
      <c r="H11" s="730" t="s">
        <v>15</v>
      </c>
      <c r="I11" s="731">
        <f t="shared" si="1"/>
        <v>4527.6000000000004</v>
      </c>
      <c r="J11" s="731">
        <f t="shared" si="0"/>
        <v>5328.4</v>
      </c>
      <c r="K11" s="731">
        <f t="shared" si="0"/>
        <v>800.79999999999973</v>
      </c>
      <c r="L11" s="732">
        <f t="shared" si="0"/>
        <v>8052</v>
      </c>
      <c r="N11" s="14">
        <v>83000</v>
      </c>
      <c r="O11" s="13">
        <v>88000</v>
      </c>
    </row>
    <row r="12" spans="2:15" ht="17.100000000000001" customHeight="1" x14ac:dyDescent="0.15">
      <c r="B12" s="733">
        <v>5</v>
      </c>
      <c r="C12" s="733">
        <v>2</v>
      </c>
      <c r="D12" s="726">
        <v>98000</v>
      </c>
      <c r="E12" s="727">
        <v>93000</v>
      </c>
      <c r="F12" s="728" t="s">
        <v>14</v>
      </c>
      <c r="G12" s="729">
        <f t="shared" ref="G12:G57" si="2">E13</f>
        <v>101000</v>
      </c>
      <c r="H12" s="730" t="s">
        <v>15</v>
      </c>
      <c r="I12" s="731">
        <f t="shared" si="1"/>
        <v>5042.1000000000004</v>
      </c>
      <c r="J12" s="731">
        <f t="shared" si="0"/>
        <v>5933.9</v>
      </c>
      <c r="K12" s="731">
        <f t="shared" si="0"/>
        <v>891.79999999999973</v>
      </c>
      <c r="L12" s="732">
        <f t="shared" si="0"/>
        <v>8967</v>
      </c>
      <c r="N12" s="14">
        <v>93000</v>
      </c>
      <c r="O12" s="13">
        <v>98000</v>
      </c>
    </row>
    <row r="13" spans="2:15" ht="17.100000000000001" customHeight="1" x14ac:dyDescent="0.15">
      <c r="B13" s="733">
        <v>6</v>
      </c>
      <c r="C13" s="733">
        <v>3</v>
      </c>
      <c r="D13" s="726">
        <v>104000</v>
      </c>
      <c r="E13" s="727">
        <v>101000</v>
      </c>
      <c r="F13" s="728" t="s">
        <v>14</v>
      </c>
      <c r="G13" s="729">
        <f t="shared" si="2"/>
        <v>107000</v>
      </c>
      <c r="H13" s="730" t="s">
        <v>15</v>
      </c>
      <c r="I13" s="731">
        <f t="shared" si="1"/>
        <v>5350.8</v>
      </c>
      <c r="J13" s="731">
        <f t="shared" si="0"/>
        <v>6297.2</v>
      </c>
      <c r="K13" s="731">
        <f t="shared" si="0"/>
        <v>946.39999999999964</v>
      </c>
      <c r="L13" s="732">
        <f t="shared" si="0"/>
        <v>9516</v>
      </c>
      <c r="N13" s="14">
        <v>101000</v>
      </c>
      <c r="O13" s="13">
        <v>104000</v>
      </c>
    </row>
    <row r="14" spans="2:15" ht="17.100000000000001" customHeight="1" x14ac:dyDescent="0.15">
      <c r="B14" s="733">
        <v>7</v>
      </c>
      <c r="C14" s="733">
        <v>4</v>
      </c>
      <c r="D14" s="726">
        <v>110000</v>
      </c>
      <c r="E14" s="727">
        <v>107000</v>
      </c>
      <c r="F14" s="728" t="s">
        <v>14</v>
      </c>
      <c r="G14" s="729">
        <f t="shared" si="2"/>
        <v>114000</v>
      </c>
      <c r="H14" s="730" t="s">
        <v>15</v>
      </c>
      <c r="I14" s="731">
        <f t="shared" si="1"/>
        <v>5659.5</v>
      </c>
      <c r="J14" s="731">
        <f t="shared" si="0"/>
        <v>6660.5</v>
      </c>
      <c r="K14" s="731">
        <f t="shared" si="0"/>
        <v>1000.9999999999997</v>
      </c>
      <c r="L14" s="732">
        <f t="shared" si="0"/>
        <v>10065</v>
      </c>
      <c r="N14" s="14">
        <v>107000</v>
      </c>
      <c r="O14" s="13">
        <v>110000</v>
      </c>
    </row>
    <row r="15" spans="2:15" ht="17.100000000000001" customHeight="1" x14ac:dyDescent="0.15">
      <c r="B15" s="733">
        <v>8</v>
      </c>
      <c r="C15" s="733">
        <v>5</v>
      </c>
      <c r="D15" s="726">
        <v>118000</v>
      </c>
      <c r="E15" s="727">
        <v>114000</v>
      </c>
      <c r="F15" s="728" t="s">
        <v>14</v>
      </c>
      <c r="G15" s="729">
        <f t="shared" si="2"/>
        <v>122000</v>
      </c>
      <c r="H15" s="730" t="s">
        <v>15</v>
      </c>
      <c r="I15" s="731">
        <f t="shared" si="1"/>
        <v>6071.1</v>
      </c>
      <c r="J15" s="731">
        <f t="shared" si="0"/>
        <v>7144.9</v>
      </c>
      <c r="K15" s="731">
        <f t="shared" si="0"/>
        <v>1073.7999999999997</v>
      </c>
      <c r="L15" s="732">
        <f t="shared" si="0"/>
        <v>10797</v>
      </c>
      <c r="N15" s="14">
        <v>114000</v>
      </c>
      <c r="O15" s="13">
        <v>118000</v>
      </c>
    </row>
    <row r="16" spans="2:15" ht="17.100000000000001" customHeight="1" x14ac:dyDescent="0.15">
      <c r="B16" s="733">
        <v>9</v>
      </c>
      <c r="C16" s="733">
        <v>6</v>
      </c>
      <c r="D16" s="726">
        <v>126000</v>
      </c>
      <c r="E16" s="727">
        <v>122000</v>
      </c>
      <c r="F16" s="728" t="s">
        <v>14</v>
      </c>
      <c r="G16" s="729">
        <f t="shared" si="2"/>
        <v>130000</v>
      </c>
      <c r="H16" s="730" t="s">
        <v>15</v>
      </c>
      <c r="I16" s="731">
        <f t="shared" si="1"/>
        <v>6482.7000000000007</v>
      </c>
      <c r="J16" s="731">
        <f t="shared" si="0"/>
        <v>7629.3</v>
      </c>
      <c r="K16" s="731">
        <f t="shared" si="0"/>
        <v>1146.5999999999997</v>
      </c>
      <c r="L16" s="732">
        <f t="shared" si="0"/>
        <v>11529</v>
      </c>
      <c r="N16" s="14">
        <v>122000</v>
      </c>
      <c r="O16" s="13">
        <v>126000</v>
      </c>
    </row>
    <row r="17" spans="2:15" ht="17.100000000000001" customHeight="1" x14ac:dyDescent="0.15">
      <c r="B17" s="733">
        <v>10</v>
      </c>
      <c r="C17" s="733">
        <v>7</v>
      </c>
      <c r="D17" s="726">
        <v>134000</v>
      </c>
      <c r="E17" s="727">
        <v>130000</v>
      </c>
      <c r="F17" s="728" t="s">
        <v>14</v>
      </c>
      <c r="G17" s="729">
        <f t="shared" si="2"/>
        <v>138000</v>
      </c>
      <c r="H17" s="730" t="s">
        <v>15</v>
      </c>
      <c r="I17" s="731">
        <f t="shared" si="1"/>
        <v>6894.3</v>
      </c>
      <c r="J17" s="731">
        <f t="shared" si="0"/>
        <v>8113.7</v>
      </c>
      <c r="K17" s="731">
        <f t="shared" si="0"/>
        <v>1219.3999999999996</v>
      </c>
      <c r="L17" s="732">
        <f t="shared" si="0"/>
        <v>12261</v>
      </c>
      <c r="N17" s="14">
        <v>130000</v>
      </c>
      <c r="O17" s="13">
        <v>134000</v>
      </c>
    </row>
    <row r="18" spans="2:15" ht="17.100000000000001" customHeight="1" x14ac:dyDescent="0.15">
      <c r="B18" s="733">
        <v>11</v>
      </c>
      <c r="C18" s="733">
        <v>8</v>
      </c>
      <c r="D18" s="726">
        <v>142000</v>
      </c>
      <c r="E18" s="727">
        <v>138000</v>
      </c>
      <c r="F18" s="728" t="s">
        <v>14</v>
      </c>
      <c r="G18" s="729">
        <f t="shared" si="2"/>
        <v>146000</v>
      </c>
      <c r="H18" s="730" t="s">
        <v>15</v>
      </c>
      <c r="I18" s="731">
        <f t="shared" si="1"/>
        <v>7305.9000000000005</v>
      </c>
      <c r="J18" s="731">
        <f t="shared" si="0"/>
        <v>8598.1</v>
      </c>
      <c r="K18" s="731">
        <f t="shared" si="0"/>
        <v>1292.1999999999996</v>
      </c>
      <c r="L18" s="732">
        <f t="shared" si="0"/>
        <v>12993</v>
      </c>
      <c r="N18" s="14">
        <v>138000</v>
      </c>
      <c r="O18" s="13">
        <v>142000</v>
      </c>
    </row>
    <row r="19" spans="2:15" ht="17.100000000000001" customHeight="1" x14ac:dyDescent="0.15">
      <c r="B19" s="733">
        <v>12</v>
      </c>
      <c r="C19" s="733">
        <v>9</v>
      </c>
      <c r="D19" s="726">
        <v>150000</v>
      </c>
      <c r="E19" s="727">
        <v>146000</v>
      </c>
      <c r="F19" s="728" t="s">
        <v>14</v>
      </c>
      <c r="G19" s="729">
        <f t="shared" si="2"/>
        <v>155000</v>
      </c>
      <c r="H19" s="730" t="s">
        <v>15</v>
      </c>
      <c r="I19" s="731">
        <f t="shared" si="1"/>
        <v>7717.5</v>
      </c>
      <c r="J19" s="731">
        <f t="shared" si="0"/>
        <v>9082.5</v>
      </c>
      <c r="K19" s="731">
        <f t="shared" si="0"/>
        <v>1364.9999999999995</v>
      </c>
      <c r="L19" s="732">
        <f t="shared" si="0"/>
        <v>13725</v>
      </c>
      <c r="N19" s="14">
        <v>146000</v>
      </c>
      <c r="O19" s="13">
        <v>150000</v>
      </c>
    </row>
    <row r="20" spans="2:15" ht="17.100000000000001" customHeight="1" x14ac:dyDescent="0.15">
      <c r="B20" s="733">
        <v>13</v>
      </c>
      <c r="C20" s="733">
        <v>10</v>
      </c>
      <c r="D20" s="726">
        <v>160000</v>
      </c>
      <c r="E20" s="727">
        <v>155000</v>
      </c>
      <c r="F20" s="728" t="s">
        <v>14</v>
      </c>
      <c r="G20" s="729">
        <f t="shared" si="2"/>
        <v>165000</v>
      </c>
      <c r="H20" s="730" t="s">
        <v>15</v>
      </c>
      <c r="I20" s="731">
        <f t="shared" si="1"/>
        <v>8232</v>
      </c>
      <c r="J20" s="731">
        <f t="shared" si="0"/>
        <v>9688</v>
      </c>
      <c r="K20" s="731">
        <f t="shared" si="0"/>
        <v>1455.9999999999995</v>
      </c>
      <c r="L20" s="732">
        <f t="shared" si="0"/>
        <v>14640</v>
      </c>
      <c r="N20" s="14">
        <v>155000</v>
      </c>
      <c r="O20" s="13">
        <v>160000</v>
      </c>
    </row>
    <row r="21" spans="2:15" ht="17.100000000000001" customHeight="1" x14ac:dyDescent="0.15">
      <c r="B21" s="733">
        <v>14</v>
      </c>
      <c r="C21" s="733">
        <v>11</v>
      </c>
      <c r="D21" s="726">
        <v>170000</v>
      </c>
      <c r="E21" s="727">
        <v>165000</v>
      </c>
      <c r="F21" s="728" t="s">
        <v>14</v>
      </c>
      <c r="G21" s="729">
        <f t="shared" si="2"/>
        <v>175000</v>
      </c>
      <c r="H21" s="730" t="s">
        <v>15</v>
      </c>
      <c r="I21" s="731">
        <f t="shared" si="1"/>
        <v>8746.5</v>
      </c>
      <c r="J21" s="731">
        <f t="shared" si="0"/>
        <v>10293.5</v>
      </c>
      <c r="K21" s="731">
        <f t="shared" si="0"/>
        <v>1546.9999999999995</v>
      </c>
      <c r="L21" s="732">
        <f t="shared" si="0"/>
        <v>15555</v>
      </c>
      <c r="N21" s="14">
        <v>165000</v>
      </c>
      <c r="O21" s="13">
        <v>170000</v>
      </c>
    </row>
    <row r="22" spans="2:15" ht="17.100000000000001" customHeight="1" x14ac:dyDescent="0.15">
      <c r="B22" s="733">
        <v>15</v>
      </c>
      <c r="C22" s="733">
        <v>12</v>
      </c>
      <c r="D22" s="726">
        <v>180000</v>
      </c>
      <c r="E22" s="727">
        <v>175000</v>
      </c>
      <c r="F22" s="728" t="s">
        <v>14</v>
      </c>
      <c r="G22" s="729">
        <f t="shared" si="2"/>
        <v>185000</v>
      </c>
      <c r="H22" s="730" t="s">
        <v>15</v>
      </c>
      <c r="I22" s="731">
        <f t="shared" si="1"/>
        <v>9261</v>
      </c>
      <c r="J22" s="731">
        <f t="shared" si="0"/>
        <v>10899</v>
      </c>
      <c r="K22" s="731">
        <f t="shared" si="0"/>
        <v>1637.9999999999995</v>
      </c>
      <c r="L22" s="732">
        <f t="shared" si="0"/>
        <v>16470</v>
      </c>
      <c r="N22" s="14">
        <v>175000</v>
      </c>
      <c r="O22" s="13">
        <v>180000</v>
      </c>
    </row>
    <row r="23" spans="2:15" ht="17.100000000000001" customHeight="1" x14ac:dyDescent="0.15">
      <c r="B23" s="733">
        <v>16</v>
      </c>
      <c r="C23" s="733">
        <v>13</v>
      </c>
      <c r="D23" s="726">
        <v>190000</v>
      </c>
      <c r="E23" s="727">
        <v>185000</v>
      </c>
      <c r="F23" s="728" t="s">
        <v>14</v>
      </c>
      <c r="G23" s="729">
        <f t="shared" si="2"/>
        <v>195000</v>
      </c>
      <c r="H23" s="730" t="s">
        <v>15</v>
      </c>
      <c r="I23" s="731">
        <f t="shared" si="1"/>
        <v>9775.5</v>
      </c>
      <c r="J23" s="731">
        <f t="shared" si="0"/>
        <v>11504.5</v>
      </c>
      <c r="K23" s="731">
        <f t="shared" si="0"/>
        <v>1728.9999999999993</v>
      </c>
      <c r="L23" s="732">
        <f t="shared" si="0"/>
        <v>17385</v>
      </c>
      <c r="N23" s="14">
        <v>185000</v>
      </c>
      <c r="O23" s="13">
        <v>190000</v>
      </c>
    </row>
    <row r="24" spans="2:15" ht="17.100000000000001" customHeight="1" x14ac:dyDescent="0.15">
      <c r="B24" s="733">
        <v>17</v>
      </c>
      <c r="C24" s="733">
        <v>14</v>
      </c>
      <c r="D24" s="726">
        <v>200000</v>
      </c>
      <c r="E24" s="727">
        <v>195000</v>
      </c>
      <c r="F24" s="728" t="s">
        <v>14</v>
      </c>
      <c r="G24" s="729">
        <f t="shared" si="2"/>
        <v>210000</v>
      </c>
      <c r="H24" s="730" t="s">
        <v>15</v>
      </c>
      <c r="I24" s="731">
        <f t="shared" si="1"/>
        <v>10290</v>
      </c>
      <c r="J24" s="731">
        <f t="shared" si="1"/>
        <v>12110</v>
      </c>
      <c r="K24" s="731">
        <f t="shared" si="1"/>
        <v>1819.9999999999993</v>
      </c>
      <c r="L24" s="732">
        <f t="shared" si="1"/>
        <v>18300</v>
      </c>
      <c r="N24" s="14">
        <v>195000</v>
      </c>
      <c r="O24" s="13">
        <v>200000</v>
      </c>
    </row>
    <row r="25" spans="2:15" ht="17.100000000000001" customHeight="1" x14ac:dyDescent="0.15">
      <c r="B25" s="733">
        <v>18</v>
      </c>
      <c r="C25" s="733">
        <v>15</v>
      </c>
      <c r="D25" s="726">
        <v>220000</v>
      </c>
      <c r="E25" s="727">
        <v>210000</v>
      </c>
      <c r="F25" s="728" t="s">
        <v>14</v>
      </c>
      <c r="G25" s="729">
        <f t="shared" si="2"/>
        <v>230000</v>
      </c>
      <c r="H25" s="730" t="s">
        <v>15</v>
      </c>
      <c r="I25" s="731">
        <f t="shared" si="1"/>
        <v>11319</v>
      </c>
      <c r="J25" s="731">
        <f t="shared" si="1"/>
        <v>13321</v>
      </c>
      <c r="K25" s="731">
        <f t="shared" si="1"/>
        <v>2001.9999999999993</v>
      </c>
      <c r="L25" s="732">
        <f t="shared" si="1"/>
        <v>20130</v>
      </c>
      <c r="N25" s="14">
        <v>210000</v>
      </c>
      <c r="O25" s="13">
        <v>220000</v>
      </c>
    </row>
    <row r="26" spans="2:15" ht="17.100000000000001" customHeight="1" x14ac:dyDescent="0.15">
      <c r="B26" s="733">
        <v>19</v>
      </c>
      <c r="C26" s="733">
        <v>16</v>
      </c>
      <c r="D26" s="726">
        <v>240000</v>
      </c>
      <c r="E26" s="727">
        <v>230000</v>
      </c>
      <c r="F26" s="728" t="s">
        <v>14</v>
      </c>
      <c r="G26" s="729">
        <f t="shared" si="2"/>
        <v>250000</v>
      </c>
      <c r="H26" s="730" t="s">
        <v>15</v>
      </c>
      <c r="I26" s="731">
        <f t="shared" si="1"/>
        <v>12348</v>
      </c>
      <c r="J26" s="731">
        <f t="shared" si="1"/>
        <v>14532</v>
      </c>
      <c r="K26" s="731">
        <f t="shared" si="1"/>
        <v>2183.9999999999991</v>
      </c>
      <c r="L26" s="732">
        <f t="shared" si="1"/>
        <v>21960</v>
      </c>
      <c r="N26" s="14">
        <v>230000</v>
      </c>
      <c r="O26" s="13">
        <v>240000</v>
      </c>
    </row>
    <row r="27" spans="2:15" ht="17.100000000000001" customHeight="1" x14ac:dyDescent="0.15">
      <c r="B27" s="733">
        <v>20</v>
      </c>
      <c r="C27" s="733">
        <v>17</v>
      </c>
      <c r="D27" s="726">
        <v>260000</v>
      </c>
      <c r="E27" s="727">
        <v>250000</v>
      </c>
      <c r="F27" s="728" t="s">
        <v>14</v>
      </c>
      <c r="G27" s="729">
        <f t="shared" si="2"/>
        <v>270000</v>
      </c>
      <c r="H27" s="730" t="s">
        <v>15</v>
      </c>
      <c r="I27" s="731">
        <f t="shared" si="1"/>
        <v>13377</v>
      </c>
      <c r="J27" s="731">
        <f t="shared" si="1"/>
        <v>15743</v>
      </c>
      <c r="K27" s="731">
        <f t="shared" si="1"/>
        <v>2365.9999999999991</v>
      </c>
      <c r="L27" s="732">
        <f t="shared" si="1"/>
        <v>23790</v>
      </c>
      <c r="N27" s="14">
        <v>250000</v>
      </c>
      <c r="O27" s="13">
        <v>260000</v>
      </c>
    </row>
    <row r="28" spans="2:15" ht="17.100000000000001" customHeight="1" x14ac:dyDescent="0.15">
      <c r="B28" s="733">
        <v>21</v>
      </c>
      <c r="C28" s="733">
        <v>18</v>
      </c>
      <c r="D28" s="726">
        <v>280000</v>
      </c>
      <c r="E28" s="727">
        <v>270000</v>
      </c>
      <c r="F28" s="728" t="s">
        <v>14</v>
      </c>
      <c r="G28" s="729">
        <f t="shared" si="2"/>
        <v>290000</v>
      </c>
      <c r="H28" s="730" t="s">
        <v>15</v>
      </c>
      <c r="I28" s="731">
        <f t="shared" si="1"/>
        <v>14406</v>
      </c>
      <c r="J28" s="731">
        <f t="shared" si="1"/>
        <v>16954</v>
      </c>
      <c r="K28" s="731">
        <f t="shared" si="1"/>
        <v>2547.9999999999991</v>
      </c>
      <c r="L28" s="732">
        <f t="shared" si="1"/>
        <v>25620</v>
      </c>
      <c r="N28" s="14">
        <v>270000</v>
      </c>
      <c r="O28" s="13">
        <v>280000</v>
      </c>
    </row>
    <row r="29" spans="2:15" ht="17.100000000000001" customHeight="1" x14ac:dyDescent="0.15">
      <c r="B29" s="733">
        <v>22</v>
      </c>
      <c r="C29" s="733">
        <v>19</v>
      </c>
      <c r="D29" s="726">
        <v>300000</v>
      </c>
      <c r="E29" s="727">
        <v>290000</v>
      </c>
      <c r="F29" s="728" t="s">
        <v>14</v>
      </c>
      <c r="G29" s="729">
        <f t="shared" si="2"/>
        <v>310000</v>
      </c>
      <c r="H29" s="730" t="s">
        <v>15</v>
      </c>
      <c r="I29" s="731">
        <f t="shared" si="1"/>
        <v>15435</v>
      </c>
      <c r="J29" s="731">
        <f t="shared" si="1"/>
        <v>18165</v>
      </c>
      <c r="K29" s="731">
        <f t="shared" si="1"/>
        <v>2729.9999999999991</v>
      </c>
      <c r="L29" s="732">
        <f t="shared" si="1"/>
        <v>27450</v>
      </c>
      <c r="N29" s="14">
        <v>290000</v>
      </c>
      <c r="O29" s="13">
        <v>300000</v>
      </c>
    </row>
    <row r="30" spans="2:15" ht="17.100000000000001" customHeight="1" x14ac:dyDescent="0.15">
      <c r="B30" s="733">
        <v>23</v>
      </c>
      <c r="C30" s="733">
        <v>20</v>
      </c>
      <c r="D30" s="726">
        <v>320000</v>
      </c>
      <c r="E30" s="727">
        <v>310000</v>
      </c>
      <c r="F30" s="728" t="s">
        <v>14</v>
      </c>
      <c r="G30" s="729">
        <f t="shared" si="2"/>
        <v>330000</v>
      </c>
      <c r="H30" s="730" t="s">
        <v>15</v>
      </c>
      <c r="I30" s="731">
        <f t="shared" si="1"/>
        <v>16464</v>
      </c>
      <c r="J30" s="731">
        <f t="shared" si="1"/>
        <v>19376</v>
      </c>
      <c r="K30" s="731">
        <f t="shared" si="1"/>
        <v>2911.9999999999991</v>
      </c>
      <c r="L30" s="732">
        <f t="shared" si="1"/>
        <v>29280</v>
      </c>
      <c r="N30" s="14">
        <v>310000</v>
      </c>
      <c r="O30" s="13">
        <v>320000</v>
      </c>
    </row>
    <row r="31" spans="2:15" ht="17.100000000000001" customHeight="1" x14ac:dyDescent="0.15">
      <c r="B31" s="733">
        <v>24</v>
      </c>
      <c r="C31" s="733">
        <v>21</v>
      </c>
      <c r="D31" s="726">
        <v>340000</v>
      </c>
      <c r="E31" s="727">
        <v>330000</v>
      </c>
      <c r="F31" s="728" t="s">
        <v>14</v>
      </c>
      <c r="G31" s="729">
        <f t="shared" si="2"/>
        <v>350000</v>
      </c>
      <c r="H31" s="730" t="s">
        <v>15</v>
      </c>
      <c r="I31" s="731">
        <f t="shared" si="1"/>
        <v>17493</v>
      </c>
      <c r="J31" s="731">
        <f t="shared" si="1"/>
        <v>20587</v>
      </c>
      <c r="K31" s="731">
        <f t="shared" si="1"/>
        <v>3093.9999999999991</v>
      </c>
      <c r="L31" s="732">
        <f t="shared" si="1"/>
        <v>31110</v>
      </c>
      <c r="N31" s="14">
        <v>330000</v>
      </c>
      <c r="O31" s="13">
        <v>340000</v>
      </c>
    </row>
    <row r="32" spans="2:15" ht="17.100000000000001" customHeight="1" x14ac:dyDescent="0.15">
      <c r="B32" s="733">
        <v>25</v>
      </c>
      <c r="C32" s="733">
        <v>22</v>
      </c>
      <c r="D32" s="726">
        <v>360000</v>
      </c>
      <c r="E32" s="727">
        <v>350000</v>
      </c>
      <c r="F32" s="728" t="s">
        <v>14</v>
      </c>
      <c r="G32" s="729">
        <f t="shared" si="2"/>
        <v>370000</v>
      </c>
      <c r="H32" s="730" t="s">
        <v>15</v>
      </c>
      <c r="I32" s="731">
        <f t="shared" si="1"/>
        <v>18522</v>
      </c>
      <c r="J32" s="731">
        <f t="shared" si="1"/>
        <v>21798</v>
      </c>
      <c r="K32" s="731">
        <f t="shared" si="1"/>
        <v>3275.9999999999991</v>
      </c>
      <c r="L32" s="732">
        <f t="shared" si="1"/>
        <v>32940</v>
      </c>
      <c r="N32" s="14">
        <v>350000</v>
      </c>
      <c r="O32" s="13">
        <v>360000</v>
      </c>
    </row>
    <row r="33" spans="2:15" ht="17.100000000000001" customHeight="1" x14ac:dyDescent="0.15">
      <c r="B33" s="733">
        <v>26</v>
      </c>
      <c r="C33" s="733">
        <v>23</v>
      </c>
      <c r="D33" s="726">
        <v>380000</v>
      </c>
      <c r="E33" s="727">
        <v>370000</v>
      </c>
      <c r="F33" s="728" t="s">
        <v>14</v>
      </c>
      <c r="G33" s="729">
        <f t="shared" si="2"/>
        <v>395000</v>
      </c>
      <c r="H33" s="730" t="s">
        <v>15</v>
      </c>
      <c r="I33" s="731">
        <f t="shared" si="1"/>
        <v>19551</v>
      </c>
      <c r="J33" s="731">
        <f t="shared" si="1"/>
        <v>23009</v>
      </c>
      <c r="K33" s="731">
        <f t="shared" si="1"/>
        <v>3457.9999999999986</v>
      </c>
      <c r="L33" s="732">
        <f t="shared" si="1"/>
        <v>34770</v>
      </c>
      <c r="N33" s="14">
        <v>370000</v>
      </c>
      <c r="O33" s="13">
        <v>380000</v>
      </c>
    </row>
    <row r="34" spans="2:15" ht="17.100000000000001" customHeight="1" x14ac:dyDescent="0.15">
      <c r="B34" s="733">
        <v>27</v>
      </c>
      <c r="C34" s="733">
        <v>24</v>
      </c>
      <c r="D34" s="726">
        <v>410000</v>
      </c>
      <c r="E34" s="727">
        <v>395000</v>
      </c>
      <c r="F34" s="728" t="s">
        <v>14</v>
      </c>
      <c r="G34" s="729">
        <f t="shared" si="2"/>
        <v>425000</v>
      </c>
      <c r="H34" s="730" t="s">
        <v>15</v>
      </c>
      <c r="I34" s="731">
        <f t="shared" si="1"/>
        <v>21094.5</v>
      </c>
      <c r="J34" s="731">
        <f t="shared" si="1"/>
        <v>24825.5</v>
      </c>
      <c r="K34" s="731">
        <f t="shared" si="1"/>
        <v>3730.9999999999986</v>
      </c>
      <c r="L34" s="732">
        <f t="shared" si="1"/>
        <v>37515</v>
      </c>
      <c r="N34" s="14">
        <v>395000</v>
      </c>
      <c r="O34" s="13">
        <v>410000</v>
      </c>
    </row>
    <row r="35" spans="2:15" ht="17.100000000000001" customHeight="1" x14ac:dyDescent="0.15">
      <c r="B35" s="733">
        <v>28</v>
      </c>
      <c r="C35" s="733">
        <v>25</v>
      </c>
      <c r="D35" s="726">
        <v>440000</v>
      </c>
      <c r="E35" s="727">
        <v>425000</v>
      </c>
      <c r="F35" s="728" t="s">
        <v>14</v>
      </c>
      <c r="G35" s="729">
        <f t="shared" si="2"/>
        <v>455000</v>
      </c>
      <c r="H35" s="730" t="s">
        <v>15</v>
      </c>
      <c r="I35" s="731">
        <f t="shared" si="1"/>
        <v>22638</v>
      </c>
      <c r="J35" s="731">
        <f t="shared" si="1"/>
        <v>26642</v>
      </c>
      <c r="K35" s="731">
        <f t="shared" si="1"/>
        <v>4003.9999999999986</v>
      </c>
      <c r="L35" s="732">
        <f t="shared" si="1"/>
        <v>40260</v>
      </c>
      <c r="N35" s="14">
        <v>425000</v>
      </c>
      <c r="O35" s="13">
        <v>440000</v>
      </c>
    </row>
    <row r="36" spans="2:15" ht="17.100000000000001" customHeight="1" x14ac:dyDescent="0.15">
      <c r="B36" s="733">
        <v>29</v>
      </c>
      <c r="C36" s="733">
        <v>26</v>
      </c>
      <c r="D36" s="726">
        <v>470000</v>
      </c>
      <c r="E36" s="727">
        <v>455000</v>
      </c>
      <c r="F36" s="728" t="s">
        <v>14</v>
      </c>
      <c r="G36" s="729">
        <f t="shared" si="2"/>
        <v>485000</v>
      </c>
      <c r="H36" s="730" t="s">
        <v>15</v>
      </c>
      <c r="I36" s="731">
        <f t="shared" si="1"/>
        <v>24181.5</v>
      </c>
      <c r="J36" s="731">
        <f t="shared" si="1"/>
        <v>28458.5</v>
      </c>
      <c r="K36" s="731">
        <f t="shared" si="1"/>
        <v>4276.9999999999982</v>
      </c>
      <c r="L36" s="732">
        <f t="shared" si="1"/>
        <v>43005</v>
      </c>
      <c r="N36" s="14">
        <v>455000</v>
      </c>
      <c r="O36" s="13">
        <v>470000</v>
      </c>
    </row>
    <row r="37" spans="2:15" ht="17.100000000000001" customHeight="1" x14ac:dyDescent="0.15">
      <c r="B37" s="733">
        <v>30</v>
      </c>
      <c r="C37" s="733">
        <v>27</v>
      </c>
      <c r="D37" s="726">
        <v>500000</v>
      </c>
      <c r="E37" s="727">
        <v>485000</v>
      </c>
      <c r="F37" s="728" t="s">
        <v>14</v>
      </c>
      <c r="G37" s="729">
        <f t="shared" si="2"/>
        <v>515000</v>
      </c>
      <c r="H37" s="730" t="s">
        <v>15</v>
      </c>
      <c r="I37" s="731">
        <f t="shared" si="1"/>
        <v>25725</v>
      </c>
      <c r="J37" s="731">
        <f t="shared" si="1"/>
        <v>30275</v>
      </c>
      <c r="K37" s="734">
        <f t="shared" si="1"/>
        <v>4549.9999999999982</v>
      </c>
      <c r="L37" s="735">
        <f>$D37*L$4/2</f>
        <v>45750</v>
      </c>
      <c r="N37" s="14">
        <v>485000</v>
      </c>
      <c r="O37" s="15">
        <v>500000</v>
      </c>
    </row>
    <row r="38" spans="2:15" ht="17.100000000000001" customHeight="1" x14ac:dyDescent="0.15">
      <c r="B38" s="733">
        <v>31</v>
      </c>
      <c r="C38" s="733">
        <v>28</v>
      </c>
      <c r="D38" s="726">
        <v>530000</v>
      </c>
      <c r="E38" s="727">
        <v>515000</v>
      </c>
      <c r="F38" s="728" t="s">
        <v>14</v>
      </c>
      <c r="G38" s="729">
        <f t="shared" si="2"/>
        <v>545000</v>
      </c>
      <c r="H38" s="730" t="s">
        <v>15</v>
      </c>
      <c r="I38" s="736">
        <f t="shared" si="1"/>
        <v>27268.5</v>
      </c>
      <c r="J38" s="731">
        <f t="shared" si="1"/>
        <v>32091.5</v>
      </c>
      <c r="K38" s="731">
        <f t="shared" si="1"/>
        <v>4822.9999999999982</v>
      </c>
      <c r="L38" s="732">
        <f t="shared" si="1"/>
        <v>48495</v>
      </c>
      <c r="N38" s="14">
        <v>515000</v>
      </c>
      <c r="O38" s="13">
        <v>530000</v>
      </c>
    </row>
    <row r="39" spans="2:15" ht="17.100000000000001" customHeight="1" x14ac:dyDescent="0.15">
      <c r="B39" s="733">
        <v>32</v>
      </c>
      <c r="C39" s="733">
        <v>29</v>
      </c>
      <c r="D39" s="726">
        <v>560000</v>
      </c>
      <c r="E39" s="727">
        <v>545000</v>
      </c>
      <c r="F39" s="728" t="s">
        <v>14</v>
      </c>
      <c r="G39" s="729">
        <f t="shared" si="2"/>
        <v>575000</v>
      </c>
      <c r="H39" s="730" t="s">
        <v>15</v>
      </c>
      <c r="I39" s="731">
        <f t="shared" si="1"/>
        <v>28812</v>
      </c>
      <c r="J39" s="731">
        <f t="shared" si="1"/>
        <v>33908</v>
      </c>
      <c r="K39" s="731">
        <f t="shared" si="1"/>
        <v>5095.9999999999982</v>
      </c>
      <c r="L39" s="732">
        <f t="shared" si="1"/>
        <v>51240</v>
      </c>
      <c r="N39" s="14">
        <v>545000</v>
      </c>
      <c r="O39" s="13">
        <v>560000</v>
      </c>
    </row>
    <row r="40" spans="2:15" ht="17.100000000000001" customHeight="1" x14ac:dyDescent="0.15">
      <c r="B40" s="733">
        <v>33</v>
      </c>
      <c r="C40" s="733">
        <v>30</v>
      </c>
      <c r="D40" s="726">
        <v>590000</v>
      </c>
      <c r="E40" s="727">
        <v>575000</v>
      </c>
      <c r="F40" s="728" t="s">
        <v>14</v>
      </c>
      <c r="G40" s="729">
        <f t="shared" si="2"/>
        <v>605000</v>
      </c>
      <c r="H40" s="730" t="s">
        <v>15</v>
      </c>
      <c r="I40" s="731">
        <f t="shared" si="1"/>
        <v>30355.5</v>
      </c>
      <c r="J40" s="731">
        <f t="shared" si="1"/>
        <v>35724.5</v>
      </c>
      <c r="K40" s="731">
        <f t="shared" si="1"/>
        <v>5368.9999999999982</v>
      </c>
      <c r="L40" s="732">
        <f t="shared" si="1"/>
        <v>53985</v>
      </c>
      <c r="N40" s="14">
        <v>575000</v>
      </c>
      <c r="O40" s="13">
        <v>590000</v>
      </c>
    </row>
    <row r="41" spans="2:15" ht="17.100000000000001" customHeight="1" x14ac:dyDescent="0.15">
      <c r="B41" s="733">
        <v>34</v>
      </c>
      <c r="C41" s="733">
        <v>31</v>
      </c>
      <c r="D41" s="726">
        <v>620000</v>
      </c>
      <c r="E41" s="727">
        <v>605000</v>
      </c>
      <c r="F41" s="728" t="s">
        <v>14</v>
      </c>
      <c r="G41" s="729">
        <f t="shared" si="2"/>
        <v>635000</v>
      </c>
      <c r="H41" s="730" t="s">
        <v>15</v>
      </c>
      <c r="I41" s="731">
        <f t="shared" si="1"/>
        <v>31899</v>
      </c>
      <c r="J41" s="731">
        <f t="shared" si="1"/>
        <v>37541</v>
      </c>
      <c r="K41" s="731">
        <f t="shared" si="1"/>
        <v>5641.9999999999982</v>
      </c>
      <c r="L41" s="732">
        <f t="shared" si="1"/>
        <v>56730</v>
      </c>
      <c r="N41" s="14">
        <v>605000</v>
      </c>
      <c r="O41" s="13">
        <v>620000</v>
      </c>
    </row>
    <row r="42" spans="2:15" ht="17.100000000000001" customHeight="1" thickBot="1" x14ac:dyDescent="0.2">
      <c r="B42" s="733">
        <v>35</v>
      </c>
      <c r="C42" s="733">
        <v>32</v>
      </c>
      <c r="D42" s="726">
        <v>650000</v>
      </c>
      <c r="E42" s="727">
        <v>635000</v>
      </c>
      <c r="F42" s="728" t="s">
        <v>14</v>
      </c>
      <c r="G42" s="729">
        <f t="shared" si="2"/>
        <v>665000</v>
      </c>
      <c r="H42" s="730" t="s">
        <v>15</v>
      </c>
      <c r="I42" s="731">
        <f t="shared" si="1"/>
        <v>33442.5</v>
      </c>
      <c r="J42" s="731">
        <f t="shared" si="1"/>
        <v>39357.5</v>
      </c>
      <c r="K42" s="731">
        <f t="shared" si="1"/>
        <v>5914.9999999999982</v>
      </c>
      <c r="L42" s="737">
        <f t="shared" si="1"/>
        <v>59475</v>
      </c>
      <c r="N42" s="14">
        <v>635000</v>
      </c>
      <c r="O42" s="13">
        <v>650000</v>
      </c>
    </row>
    <row r="43" spans="2:15" ht="17.100000000000001" customHeight="1" x14ac:dyDescent="0.15">
      <c r="B43" s="733">
        <v>36</v>
      </c>
      <c r="C43" s="733">
        <v>32</v>
      </c>
      <c r="D43" s="726">
        <v>680000</v>
      </c>
      <c r="E43" s="727">
        <v>665000</v>
      </c>
      <c r="F43" s="728" t="s">
        <v>14</v>
      </c>
      <c r="G43" s="729">
        <f t="shared" si="2"/>
        <v>695000</v>
      </c>
      <c r="H43" s="730" t="s">
        <v>15</v>
      </c>
      <c r="I43" s="731">
        <f t="shared" si="1"/>
        <v>34986</v>
      </c>
      <c r="J43" s="731">
        <f t="shared" si="1"/>
        <v>41174</v>
      </c>
      <c r="K43" s="731">
        <f t="shared" si="1"/>
        <v>6187.9999999999982</v>
      </c>
      <c r="L43" s="738"/>
      <c r="N43" s="14">
        <v>665000</v>
      </c>
      <c r="O43" s="13">
        <v>680000</v>
      </c>
    </row>
    <row r="44" spans="2:15" ht="17.100000000000001" customHeight="1" x14ac:dyDescent="0.15">
      <c r="B44" s="733">
        <v>37</v>
      </c>
      <c r="C44" s="733">
        <v>32</v>
      </c>
      <c r="D44" s="726">
        <v>710000</v>
      </c>
      <c r="E44" s="727">
        <v>695000</v>
      </c>
      <c r="F44" s="728" t="s">
        <v>14</v>
      </c>
      <c r="G44" s="729">
        <f t="shared" si="2"/>
        <v>730000</v>
      </c>
      <c r="H44" s="730" t="s">
        <v>15</v>
      </c>
      <c r="I44" s="731">
        <f t="shared" si="1"/>
        <v>36529.5</v>
      </c>
      <c r="J44" s="731">
        <f t="shared" si="1"/>
        <v>42990.5</v>
      </c>
      <c r="K44" s="731">
        <f t="shared" si="1"/>
        <v>6460.9999999999982</v>
      </c>
      <c r="L44" s="738"/>
      <c r="N44" s="14">
        <v>695000</v>
      </c>
      <c r="O44" s="13">
        <v>710000</v>
      </c>
    </row>
    <row r="45" spans="2:15" x14ac:dyDescent="0.15">
      <c r="B45" s="733">
        <v>38</v>
      </c>
      <c r="C45" s="733">
        <v>32</v>
      </c>
      <c r="D45" s="739">
        <v>750000</v>
      </c>
      <c r="E45" s="727">
        <v>730000</v>
      </c>
      <c r="F45" s="728" t="s">
        <v>14</v>
      </c>
      <c r="G45" s="729">
        <f t="shared" si="2"/>
        <v>770000</v>
      </c>
      <c r="H45" s="730" t="s">
        <v>15</v>
      </c>
      <c r="I45" s="731">
        <f t="shared" si="1"/>
        <v>38587.5</v>
      </c>
      <c r="J45" s="731">
        <f t="shared" si="1"/>
        <v>45412.5</v>
      </c>
      <c r="K45" s="731">
        <f t="shared" si="1"/>
        <v>6824.9999999999982</v>
      </c>
      <c r="L45" s="738"/>
      <c r="N45" s="14">
        <v>730000</v>
      </c>
      <c r="O45" s="13">
        <v>750000</v>
      </c>
    </row>
    <row r="46" spans="2:15" x14ac:dyDescent="0.15">
      <c r="B46" s="740">
        <v>39</v>
      </c>
      <c r="C46" s="740">
        <v>32</v>
      </c>
      <c r="D46" s="739">
        <v>790000</v>
      </c>
      <c r="E46" s="727">
        <v>770000</v>
      </c>
      <c r="F46" s="728" t="s">
        <v>49</v>
      </c>
      <c r="G46" s="741">
        <f t="shared" si="2"/>
        <v>810000</v>
      </c>
      <c r="H46" s="730" t="s">
        <v>15</v>
      </c>
      <c r="I46" s="734">
        <f t="shared" si="1"/>
        <v>40645.5</v>
      </c>
      <c r="J46" s="734">
        <f t="shared" si="1"/>
        <v>47834.5</v>
      </c>
      <c r="K46" s="731">
        <f t="shared" si="1"/>
        <v>7188.9999999999973</v>
      </c>
      <c r="L46" s="738"/>
      <c r="N46" s="14">
        <v>770000</v>
      </c>
      <c r="O46" s="13">
        <v>790000</v>
      </c>
    </row>
    <row r="47" spans="2:15" x14ac:dyDescent="0.15">
      <c r="B47" s="733">
        <v>40</v>
      </c>
      <c r="C47" s="733">
        <v>32</v>
      </c>
      <c r="D47" s="742">
        <v>830000</v>
      </c>
      <c r="E47" s="743">
        <v>810000</v>
      </c>
      <c r="F47" s="744" t="s">
        <v>49</v>
      </c>
      <c r="G47" s="741">
        <f t="shared" si="2"/>
        <v>855000</v>
      </c>
      <c r="H47" s="730" t="s">
        <v>15</v>
      </c>
      <c r="I47" s="731">
        <f t="shared" si="1"/>
        <v>42703.5</v>
      </c>
      <c r="J47" s="731">
        <f t="shared" si="1"/>
        <v>50256.5</v>
      </c>
      <c r="K47" s="731">
        <f t="shared" si="1"/>
        <v>7552.9999999999973</v>
      </c>
      <c r="N47" s="14">
        <v>810000</v>
      </c>
      <c r="O47" s="13">
        <v>830000</v>
      </c>
    </row>
    <row r="48" spans="2:15" x14ac:dyDescent="0.15">
      <c r="B48" s="733">
        <v>41</v>
      </c>
      <c r="C48" s="733">
        <v>32</v>
      </c>
      <c r="D48" s="742">
        <v>880000</v>
      </c>
      <c r="E48" s="743">
        <v>855000</v>
      </c>
      <c r="F48" s="728" t="s">
        <v>14</v>
      </c>
      <c r="G48" s="745">
        <f t="shared" si="2"/>
        <v>905000</v>
      </c>
      <c r="H48" s="730" t="s">
        <v>15</v>
      </c>
      <c r="I48" s="731">
        <f t="shared" ref="I48:K57" si="3">$D48*I$4/2</f>
        <v>45276</v>
      </c>
      <c r="J48" s="731">
        <f t="shared" si="3"/>
        <v>53284</v>
      </c>
      <c r="K48" s="731">
        <f t="shared" si="3"/>
        <v>8007.9999999999973</v>
      </c>
      <c r="L48" s="746"/>
      <c r="N48" s="14">
        <v>855000</v>
      </c>
      <c r="O48" s="13">
        <v>880000</v>
      </c>
    </row>
    <row r="49" spans="2:15" ht="13.5" customHeight="1" x14ac:dyDescent="0.15">
      <c r="B49" s="733">
        <v>42</v>
      </c>
      <c r="C49" s="733">
        <v>32</v>
      </c>
      <c r="D49" s="742">
        <v>930000</v>
      </c>
      <c r="E49" s="743">
        <v>905000</v>
      </c>
      <c r="F49" s="728" t="s">
        <v>14</v>
      </c>
      <c r="G49" s="745">
        <f t="shared" si="2"/>
        <v>955000</v>
      </c>
      <c r="H49" s="730" t="s">
        <v>15</v>
      </c>
      <c r="I49" s="731">
        <f t="shared" si="3"/>
        <v>47848.5</v>
      </c>
      <c r="J49" s="731">
        <f t="shared" si="3"/>
        <v>56311.5</v>
      </c>
      <c r="K49" s="731">
        <f t="shared" si="3"/>
        <v>8462.9999999999964</v>
      </c>
      <c r="L49" s="746"/>
      <c r="N49" s="14">
        <v>905000</v>
      </c>
      <c r="O49" s="13">
        <v>930000</v>
      </c>
    </row>
    <row r="50" spans="2:15" x14ac:dyDescent="0.15">
      <c r="B50" s="733">
        <v>43</v>
      </c>
      <c r="C50" s="733">
        <v>32</v>
      </c>
      <c r="D50" s="742">
        <v>980000</v>
      </c>
      <c r="E50" s="743">
        <v>955000</v>
      </c>
      <c r="F50" s="728" t="s">
        <v>14</v>
      </c>
      <c r="G50" s="745">
        <f t="shared" si="2"/>
        <v>1005000</v>
      </c>
      <c r="H50" s="730" t="s">
        <v>15</v>
      </c>
      <c r="I50" s="731">
        <f t="shared" si="3"/>
        <v>50421</v>
      </c>
      <c r="J50" s="731">
        <f t="shared" si="3"/>
        <v>59339</v>
      </c>
      <c r="K50" s="731">
        <f t="shared" si="3"/>
        <v>8917.9999999999964</v>
      </c>
      <c r="N50" s="14">
        <v>955000</v>
      </c>
      <c r="O50" s="13">
        <v>980000</v>
      </c>
    </row>
    <row r="51" spans="2:15" x14ac:dyDescent="0.15">
      <c r="B51" s="733">
        <v>44</v>
      </c>
      <c r="C51" s="733">
        <v>32</v>
      </c>
      <c r="D51" s="742">
        <v>1030000</v>
      </c>
      <c r="E51" s="743">
        <v>1005000</v>
      </c>
      <c r="F51" s="728" t="s">
        <v>14</v>
      </c>
      <c r="G51" s="745">
        <f t="shared" si="2"/>
        <v>1055000</v>
      </c>
      <c r="H51" s="730" t="s">
        <v>15</v>
      </c>
      <c r="I51" s="731">
        <f t="shared" si="3"/>
        <v>52993.5</v>
      </c>
      <c r="J51" s="731">
        <f t="shared" si="3"/>
        <v>62366.5</v>
      </c>
      <c r="K51" s="731">
        <f t="shared" si="3"/>
        <v>9372.9999999999964</v>
      </c>
      <c r="N51" s="14">
        <v>1005000</v>
      </c>
      <c r="O51" s="13">
        <v>1030000</v>
      </c>
    </row>
    <row r="52" spans="2:15" x14ac:dyDescent="0.15">
      <c r="B52" s="733">
        <v>45</v>
      </c>
      <c r="C52" s="733">
        <v>32</v>
      </c>
      <c r="D52" s="742">
        <v>1090000</v>
      </c>
      <c r="E52" s="743">
        <v>1055000</v>
      </c>
      <c r="F52" s="728" t="s">
        <v>14</v>
      </c>
      <c r="G52" s="745">
        <f t="shared" si="2"/>
        <v>1115000</v>
      </c>
      <c r="H52" s="730" t="s">
        <v>15</v>
      </c>
      <c r="I52" s="731">
        <f t="shared" si="3"/>
        <v>56080.5</v>
      </c>
      <c r="J52" s="731">
        <f t="shared" si="3"/>
        <v>65999.5</v>
      </c>
      <c r="K52" s="731">
        <f t="shared" si="3"/>
        <v>9918.9999999999964</v>
      </c>
      <c r="N52" s="14">
        <v>1055000</v>
      </c>
      <c r="O52" s="13">
        <v>1090000</v>
      </c>
    </row>
    <row r="53" spans="2:15" x14ac:dyDescent="0.15">
      <c r="B53" s="733">
        <v>46</v>
      </c>
      <c r="C53" s="733">
        <v>32</v>
      </c>
      <c r="D53" s="742">
        <v>1150000</v>
      </c>
      <c r="E53" s="743">
        <v>1115000</v>
      </c>
      <c r="F53" s="728" t="s">
        <v>14</v>
      </c>
      <c r="G53" s="745">
        <f t="shared" si="2"/>
        <v>1175000</v>
      </c>
      <c r="H53" s="730" t="s">
        <v>15</v>
      </c>
      <c r="I53" s="731">
        <f t="shared" si="3"/>
        <v>59167.5</v>
      </c>
      <c r="J53" s="731">
        <f t="shared" si="3"/>
        <v>69632.5</v>
      </c>
      <c r="K53" s="731">
        <f t="shared" si="3"/>
        <v>10464.999999999996</v>
      </c>
      <c r="N53" s="14">
        <v>1115000</v>
      </c>
      <c r="O53" s="13">
        <v>1150000</v>
      </c>
    </row>
    <row r="54" spans="2:15" x14ac:dyDescent="0.15">
      <c r="B54" s="733">
        <v>47</v>
      </c>
      <c r="C54" s="733">
        <v>32</v>
      </c>
      <c r="D54" s="742">
        <v>1210000</v>
      </c>
      <c r="E54" s="743">
        <v>1175000</v>
      </c>
      <c r="F54" s="728" t="s">
        <v>14</v>
      </c>
      <c r="G54" s="745">
        <f t="shared" si="2"/>
        <v>1235000</v>
      </c>
      <c r="H54" s="730" t="s">
        <v>15</v>
      </c>
      <c r="I54" s="731">
        <f t="shared" si="3"/>
        <v>62254.5</v>
      </c>
      <c r="J54" s="731">
        <f t="shared" si="3"/>
        <v>73265.5</v>
      </c>
      <c r="K54" s="731">
        <f t="shared" si="3"/>
        <v>11010.999999999996</v>
      </c>
      <c r="N54" s="14">
        <v>1175000</v>
      </c>
      <c r="O54" s="13">
        <v>1210000</v>
      </c>
    </row>
    <row r="55" spans="2:15" x14ac:dyDescent="0.15">
      <c r="B55" s="733">
        <v>48</v>
      </c>
      <c r="C55" s="733">
        <v>32</v>
      </c>
      <c r="D55" s="742">
        <v>1270000</v>
      </c>
      <c r="E55" s="743">
        <v>1235000</v>
      </c>
      <c r="F55" s="728" t="s">
        <v>14</v>
      </c>
      <c r="G55" s="745">
        <f t="shared" si="2"/>
        <v>1295000</v>
      </c>
      <c r="H55" s="730" t="s">
        <v>15</v>
      </c>
      <c r="I55" s="731">
        <f t="shared" si="3"/>
        <v>65341.5</v>
      </c>
      <c r="J55" s="731">
        <f t="shared" si="3"/>
        <v>76898.5</v>
      </c>
      <c r="K55" s="731">
        <f t="shared" si="3"/>
        <v>11556.999999999996</v>
      </c>
      <c r="N55" s="14">
        <v>1235000</v>
      </c>
      <c r="O55" s="13">
        <v>1270000</v>
      </c>
    </row>
    <row r="56" spans="2:15" x14ac:dyDescent="0.15">
      <c r="B56" s="733">
        <v>49</v>
      </c>
      <c r="C56" s="733">
        <v>32</v>
      </c>
      <c r="D56" s="742">
        <v>1330000</v>
      </c>
      <c r="E56" s="743">
        <v>1295000</v>
      </c>
      <c r="F56" s="728" t="s">
        <v>14</v>
      </c>
      <c r="G56" s="745">
        <f t="shared" si="2"/>
        <v>1355000</v>
      </c>
      <c r="H56" s="730" t="s">
        <v>15</v>
      </c>
      <c r="I56" s="731">
        <f t="shared" si="3"/>
        <v>68428.5</v>
      </c>
      <c r="J56" s="731">
        <f t="shared" si="3"/>
        <v>80531.5</v>
      </c>
      <c r="K56" s="731">
        <f t="shared" si="3"/>
        <v>12102.999999999996</v>
      </c>
      <c r="N56" s="14">
        <v>1295000</v>
      </c>
      <c r="O56" s="13">
        <v>1330000</v>
      </c>
    </row>
    <row r="57" spans="2:15" ht="14.25" thickBot="1" x14ac:dyDescent="0.2">
      <c r="B57" s="747">
        <v>50</v>
      </c>
      <c r="C57" s="747">
        <v>32</v>
      </c>
      <c r="D57" s="742">
        <v>1390000</v>
      </c>
      <c r="E57" s="743">
        <v>1355000</v>
      </c>
      <c r="F57" s="728" t="s">
        <v>14</v>
      </c>
      <c r="G57" s="745">
        <f t="shared" si="2"/>
        <v>0</v>
      </c>
      <c r="H57" s="730" t="s">
        <v>15</v>
      </c>
      <c r="I57" s="731">
        <f t="shared" si="3"/>
        <v>71515.5</v>
      </c>
      <c r="J57" s="731">
        <f t="shared" si="3"/>
        <v>84164.5</v>
      </c>
      <c r="K57" s="731">
        <f t="shared" si="3"/>
        <v>12648.999999999996</v>
      </c>
      <c r="N57" s="748">
        <v>1355000</v>
      </c>
      <c r="O57" s="16">
        <v>1390000</v>
      </c>
    </row>
    <row r="58" spans="2:15" x14ac:dyDescent="0.15">
      <c r="I58" t="s">
        <v>22</v>
      </c>
      <c r="N58" s="711"/>
    </row>
    <row r="59" spans="2:15" x14ac:dyDescent="0.15">
      <c r="J59" s="749"/>
      <c r="K59" s="749"/>
      <c r="L59" s="750"/>
      <c r="N59" s="711"/>
    </row>
    <row r="60" spans="2:15" x14ac:dyDescent="0.15">
      <c r="N60" s="711"/>
    </row>
  </sheetData>
  <sheetProtection sheet="1" objects="1" scenarios="1"/>
  <mergeCells count="3">
    <mergeCell ref="B5:D5"/>
    <mergeCell ref="I5:L5"/>
    <mergeCell ref="E6:H6"/>
  </mergeCells>
  <phoneticPr fontId="3"/>
  <printOptions horizontalCentered="1"/>
  <pageMargins left="0.39370078740157483" right="0.39370078740157483" top="0.98425196850393704" bottom="0.98425196850393704" header="0.51181102362204722" footer="0.51181102362204722"/>
  <pageSetup paperSize="9" scale="75" orientation="portrait" r:id="rId1"/>
  <headerFooter alignWithMargins="0">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E2C0F-28E6-4579-BC3C-8C0A5B58E57E}">
  <sheetPr>
    <tabColor rgb="FF00FFFF"/>
  </sheetPr>
  <dimension ref="B1:Q59"/>
  <sheetViews>
    <sheetView showGridLines="0" zoomScale="120" zoomScaleNormal="120" workbookViewId="0">
      <selection activeCell="A3" sqref="A3"/>
    </sheetView>
  </sheetViews>
  <sheetFormatPr defaultRowHeight="13.5" x14ac:dyDescent="0.15"/>
  <cols>
    <col min="2" max="2" width="19.25" customWidth="1"/>
    <col min="3" max="3" width="5.125" customWidth="1"/>
    <col min="4" max="4" width="3.625" customWidth="1"/>
    <col min="5" max="5" width="11.375" customWidth="1"/>
    <col min="6" max="6" width="3.875" customWidth="1"/>
    <col min="7" max="7" width="14.875" customWidth="1"/>
    <col min="8" max="8" width="4.625" customWidth="1"/>
    <col min="9" max="10" width="15.625" customWidth="1"/>
    <col min="11" max="11" width="16.25" customWidth="1"/>
    <col min="12" max="12" width="15" customWidth="1"/>
    <col min="14" max="17" width="12.875" customWidth="1"/>
  </cols>
  <sheetData>
    <row r="1" spans="2:17" s="2" customFormat="1" ht="20.25" customHeight="1" x14ac:dyDescent="0.15">
      <c r="B1" s="828">
        <v>1</v>
      </c>
      <c r="C1" s="2">
        <v>2</v>
      </c>
      <c r="D1" s="2">
        <v>3</v>
      </c>
      <c r="E1" s="2">
        <v>4</v>
      </c>
      <c r="F1" s="2">
        <v>5</v>
      </c>
      <c r="G1" s="2">
        <v>6</v>
      </c>
      <c r="H1" s="2">
        <v>7</v>
      </c>
      <c r="I1" s="2">
        <v>8</v>
      </c>
    </row>
    <row r="2" spans="2:17" ht="24.75" customHeight="1" thickBot="1" x14ac:dyDescent="0.2">
      <c r="B2" s="829" t="s">
        <v>62</v>
      </c>
      <c r="N2" s="23" t="s">
        <v>16</v>
      </c>
    </row>
    <row r="3" spans="2:17" ht="21.95" customHeight="1" thickBot="1" x14ac:dyDescent="0.2">
      <c r="B3" s="1046" t="s">
        <v>60</v>
      </c>
      <c r="C3" s="1047"/>
      <c r="D3" s="1047"/>
      <c r="E3" s="1047"/>
      <c r="F3" s="1047"/>
      <c r="G3" s="1048"/>
      <c r="H3" s="830" t="s">
        <v>61</v>
      </c>
      <c r="I3" s="831" t="s">
        <v>56</v>
      </c>
      <c r="N3" s="1051" t="s">
        <v>20</v>
      </c>
      <c r="O3" s="1052"/>
      <c r="P3" s="1051" t="s">
        <v>86</v>
      </c>
      <c r="Q3" s="1052"/>
    </row>
    <row r="4" spans="2:17" ht="37.5" customHeight="1" x14ac:dyDescent="0.15">
      <c r="B4" s="1053" t="s">
        <v>52</v>
      </c>
      <c r="C4" s="1054"/>
      <c r="D4" s="832"/>
      <c r="E4" s="1055" t="s">
        <v>53</v>
      </c>
      <c r="F4" s="1055"/>
      <c r="G4" s="1054"/>
      <c r="H4" s="833"/>
      <c r="I4" s="479" t="s">
        <v>56</v>
      </c>
      <c r="K4" s="1056" t="s">
        <v>16</v>
      </c>
      <c r="L4" s="1057"/>
      <c r="N4" s="834">
        <v>-2000000</v>
      </c>
      <c r="O4" s="835">
        <v>0</v>
      </c>
      <c r="P4" s="834">
        <v>-2000000</v>
      </c>
      <c r="Q4" s="836">
        <v>0</v>
      </c>
    </row>
    <row r="5" spans="2:17" ht="21.95" customHeight="1" x14ac:dyDescent="0.15">
      <c r="B5" s="837">
        <v>1625000</v>
      </c>
      <c r="C5" s="838" t="s">
        <v>54</v>
      </c>
      <c r="D5" s="839"/>
      <c r="E5" s="840">
        <v>550000</v>
      </c>
      <c r="F5" s="837"/>
      <c r="G5" s="840"/>
      <c r="H5" s="841" t="s">
        <v>61</v>
      </c>
      <c r="I5" s="842">
        <v>480000</v>
      </c>
      <c r="K5" s="843">
        <v>0</v>
      </c>
      <c r="L5" s="844">
        <v>1625000</v>
      </c>
      <c r="N5" s="834">
        <v>1</v>
      </c>
      <c r="O5" s="835">
        <v>0.05</v>
      </c>
      <c r="P5" s="834">
        <v>1</v>
      </c>
      <c r="Q5" s="836">
        <v>0</v>
      </c>
    </row>
    <row r="6" spans="2:17" ht="21.95" customHeight="1" x14ac:dyDescent="0.15">
      <c r="B6" s="837">
        <v>1800000</v>
      </c>
      <c r="C6" s="838" t="s">
        <v>54</v>
      </c>
      <c r="D6" s="839" t="s">
        <v>57</v>
      </c>
      <c r="E6" s="845">
        <v>0.4</v>
      </c>
      <c r="F6" s="841" t="s">
        <v>45</v>
      </c>
      <c r="G6" s="840">
        <v>-100000</v>
      </c>
      <c r="H6" s="841" t="s">
        <v>61</v>
      </c>
      <c r="I6" s="842">
        <v>480000</v>
      </c>
      <c r="K6" s="846">
        <f>$B5+1</f>
        <v>1625001</v>
      </c>
      <c r="L6" s="844">
        <v>1800000</v>
      </c>
      <c r="N6" s="834">
        <v>1950001</v>
      </c>
      <c r="O6" s="835">
        <v>0.1</v>
      </c>
      <c r="P6" s="834">
        <v>1950001</v>
      </c>
      <c r="Q6" s="836">
        <v>97500</v>
      </c>
    </row>
    <row r="7" spans="2:17" ht="21.95" customHeight="1" x14ac:dyDescent="0.15">
      <c r="B7" s="837">
        <v>3600000</v>
      </c>
      <c r="C7" s="838" t="s">
        <v>54</v>
      </c>
      <c r="D7" s="839" t="s">
        <v>57</v>
      </c>
      <c r="E7" s="845">
        <v>0.3</v>
      </c>
      <c r="F7" s="841" t="s">
        <v>45</v>
      </c>
      <c r="G7" s="840">
        <v>80000</v>
      </c>
      <c r="H7" s="841" t="s">
        <v>61</v>
      </c>
      <c r="I7" s="842">
        <v>480000</v>
      </c>
      <c r="K7" s="846">
        <f>$B6+1</f>
        <v>1800001</v>
      </c>
      <c r="L7" s="844">
        <v>3600000</v>
      </c>
      <c r="N7" s="834">
        <v>3300001</v>
      </c>
      <c r="O7" s="835">
        <v>0.2</v>
      </c>
      <c r="P7" s="834">
        <v>3300001</v>
      </c>
      <c r="Q7" s="836">
        <v>427500</v>
      </c>
    </row>
    <row r="8" spans="2:17" ht="21.95" customHeight="1" x14ac:dyDescent="0.15">
      <c r="B8" s="837">
        <v>6600000</v>
      </c>
      <c r="C8" s="838" t="s">
        <v>54</v>
      </c>
      <c r="D8" s="839" t="s">
        <v>57</v>
      </c>
      <c r="E8" s="845">
        <v>0.2</v>
      </c>
      <c r="F8" s="841" t="s">
        <v>45</v>
      </c>
      <c r="G8" s="840">
        <v>440000</v>
      </c>
      <c r="H8" s="841" t="s">
        <v>61</v>
      </c>
      <c r="I8" s="842">
        <v>480000</v>
      </c>
      <c r="K8" s="846">
        <f>$B7+1</f>
        <v>3600001</v>
      </c>
      <c r="L8" s="844">
        <v>6600000</v>
      </c>
      <c r="N8" s="834">
        <v>6950001</v>
      </c>
      <c r="O8" s="835">
        <v>0.23</v>
      </c>
      <c r="P8" s="834">
        <v>6950001</v>
      </c>
      <c r="Q8" s="836">
        <v>636000</v>
      </c>
    </row>
    <row r="9" spans="2:17" ht="21.95" customHeight="1" x14ac:dyDescent="0.15">
      <c r="B9" s="837">
        <v>8500000</v>
      </c>
      <c r="C9" s="838" t="s">
        <v>54</v>
      </c>
      <c r="D9" s="839" t="s">
        <v>57</v>
      </c>
      <c r="E9" s="847">
        <v>0.1</v>
      </c>
      <c r="F9" s="841" t="s">
        <v>45</v>
      </c>
      <c r="G9" s="840">
        <v>1100000</v>
      </c>
      <c r="H9" s="841" t="s">
        <v>61</v>
      </c>
      <c r="I9" s="842">
        <v>480000</v>
      </c>
      <c r="K9" s="846">
        <f>$B8+1</f>
        <v>6600001</v>
      </c>
      <c r="L9" s="844">
        <v>8500000</v>
      </c>
      <c r="N9" s="834">
        <v>9000001</v>
      </c>
      <c r="O9" s="835">
        <v>0.33</v>
      </c>
      <c r="P9" s="834">
        <v>9000001</v>
      </c>
      <c r="Q9" s="836">
        <v>1536000</v>
      </c>
    </row>
    <row r="10" spans="2:17" ht="21.95" customHeight="1" thickBot="1" x14ac:dyDescent="0.2">
      <c r="B10" s="837">
        <v>8500001</v>
      </c>
      <c r="C10" s="838" t="s">
        <v>44</v>
      </c>
      <c r="D10" s="848"/>
      <c r="E10" s="847" t="s">
        <v>55</v>
      </c>
      <c r="F10" s="849"/>
      <c r="G10" s="845">
        <v>1950000</v>
      </c>
      <c r="H10" s="841" t="s">
        <v>61</v>
      </c>
      <c r="I10" s="842">
        <v>480000</v>
      </c>
      <c r="J10" s="850" t="s">
        <v>58</v>
      </c>
      <c r="K10" s="851">
        <f>$B9+1</f>
        <v>8500001</v>
      </c>
      <c r="L10" s="852">
        <v>8500001</v>
      </c>
      <c r="N10" s="834">
        <v>18000001</v>
      </c>
      <c r="O10" s="835">
        <v>0.4</v>
      </c>
      <c r="P10" s="834">
        <v>18000001</v>
      </c>
      <c r="Q10" s="836">
        <v>2796000</v>
      </c>
    </row>
    <row r="11" spans="2:17" ht="21.95" customHeight="1" thickBot="1" x14ac:dyDescent="0.2">
      <c r="B11" s="853"/>
      <c r="C11" s="182"/>
      <c r="E11" s="854" t="s">
        <v>59</v>
      </c>
      <c r="N11" s="855">
        <v>40000001</v>
      </c>
      <c r="O11" s="856">
        <v>0.45</v>
      </c>
      <c r="P11" s="855">
        <v>40000001</v>
      </c>
      <c r="Q11" s="857">
        <v>4796000</v>
      </c>
    </row>
    <row r="12" spans="2:17" ht="7.5" customHeight="1" x14ac:dyDescent="0.15">
      <c r="B12" s="858"/>
    </row>
    <row r="13" spans="2:17" ht="7.5" customHeight="1" x14ac:dyDescent="0.15">
      <c r="B13" s="858"/>
    </row>
    <row r="14" spans="2:17" ht="21.95" customHeight="1" x14ac:dyDescent="0.15">
      <c r="B14" s="1049" t="s">
        <v>277</v>
      </c>
      <c r="C14" s="1049"/>
      <c r="D14" s="1050">
        <v>2.1000000000000001E-2</v>
      </c>
      <c r="E14" s="1050"/>
    </row>
    <row r="15" spans="2:17" ht="21.95" customHeight="1" x14ac:dyDescent="0.15"/>
    <row r="16" spans="2:17" ht="21.95" customHeight="1" x14ac:dyDescent="0.15">
      <c r="B16" s="859" t="s">
        <v>273</v>
      </c>
      <c r="C16" s="1046" t="s">
        <v>275</v>
      </c>
      <c r="D16" s="1047"/>
      <c r="E16" s="1047"/>
      <c r="F16" s="1047"/>
      <c r="G16" s="1047"/>
      <c r="H16" s="1048"/>
      <c r="I16" s="860">
        <v>480000</v>
      </c>
    </row>
    <row r="17" spans="2:9" ht="21.95" customHeight="1" x14ac:dyDescent="0.15">
      <c r="B17" s="859" t="s">
        <v>274</v>
      </c>
      <c r="C17" s="1046" t="s">
        <v>276</v>
      </c>
      <c r="D17" s="1047"/>
      <c r="E17" s="1047"/>
      <c r="F17" s="1047"/>
      <c r="G17" s="1047"/>
      <c r="H17" s="1048"/>
      <c r="I17" s="860">
        <v>430000</v>
      </c>
    </row>
    <row r="18" spans="2:9" ht="21.95" customHeight="1" x14ac:dyDescent="0.15"/>
    <row r="19" spans="2:9" ht="21.95" customHeight="1" thickBot="1" x14ac:dyDescent="0.2"/>
    <row r="20" spans="2:9" ht="21.95" customHeight="1" thickBot="1" x14ac:dyDescent="0.2">
      <c r="B20" s="1061" t="s">
        <v>283</v>
      </c>
      <c r="C20" s="1062"/>
      <c r="D20" s="1062"/>
      <c r="E20" s="1062"/>
      <c r="F20" s="1062"/>
      <c r="G20" s="1063"/>
    </row>
    <row r="21" spans="2:9" ht="21" customHeight="1" thickBot="1" x14ac:dyDescent="0.2">
      <c r="B21" s="1066" t="s">
        <v>278</v>
      </c>
      <c r="C21" s="1066"/>
      <c r="D21" s="1066"/>
      <c r="E21" s="1066"/>
      <c r="F21" s="1066"/>
      <c r="G21" s="861" t="s">
        <v>280</v>
      </c>
    </row>
    <row r="22" spans="2:9" ht="63" customHeight="1" x14ac:dyDescent="0.15">
      <c r="B22" s="1064" t="s">
        <v>281</v>
      </c>
      <c r="C22" s="1064"/>
      <c r="D22" s="1064"/>
      <c r="E22" s="1064"/>
      <c r="F22" s="1065"/>
      <c r="G22" s="1058">
        <v>2000000</v>
      </c>
    </row>
    <row r="23" spans="2:9" ht="21" customHeight="1" x14ac:dyDescent="0.15">
      <c r="B23" s="1049" t="s">
        <v>279</v>
      </c>
      <c r="C23" s="1049"/>
      <c r="D23" s="1049"/>
      <c r="E23" s="1049"/>
      <c r="F23" s="1046"/>
      <c r="G23" s="1059"/>
    </row>
    <row r="24" spans="2:9" ht="64.5" customHeight="1" thickBot="1" x14ac:dyDescent="0.2">
      <c r="B24" s="1064" t="s">
        <v>282</v>
      </c>
      <c r="C24" s="1064"/>
      <c r="D24" s="1064"/>
      <c r="E24" s="1064"/>
      <c r="F24" s="1065"/>
      <c r="G24" s="1060"/>
    </row>
    <row r="25" spans="2:9" ht="21" customHeight="1" x14ac:dyDescent="0.15"/>
    <row r="26" spans="2:9" ht="21" customHeight="1" x14ac:dyDescent="0.15"/>
    <row r="27" spans="2:9" ht="21" customHeight="1" x14ac:dyDescent="0.15"/>
    <row r="28" spans="2:9" ht="21" customHeight="1" x14ac:dyDescent="0.15"/>
    <row r="29" spans="2:9" ht="21" customHeight="1" x14ac:dyDescent="0.15"/>
    <row r="59" spans="12:12" ht="15" x14ac:dyDescent="0.15">
      <c r="L59" s="862"/>
    </row>
  </sheetData>
  <sheetProtection sheet="1" objects="1" scenarios="1"/>
  <mergeCells count="16">
    <mergeCell ref="G22:G24"/>
    <mergeCell ref="B20:G20"/>
    <mergeCell ref="B24:F24"/>
    <mergeCell ref="B23:F23"/>
    <mergeCell ref="B22:F22"/>
    <mergeCell ref="B21:F21"/>
    <mergeCell ref="C17:H17"/>
    <mergeCell ref="C16:H16"/>
    <mergeCell ref="B14:C14"/>
    <mergeCell ref="D14:E14"/>
    <mergeCell ref="P3:Q3"/>
    <mergeCell ref="B4:C4"/>
    <mergeCell ref="E4:G4"/>
    <mergeCell ref="B3:G3"/>
    <mergeCell ref="K4:L4"/>
    <mergeCell ref="N3:O3"/>
  </mergeCells>
  <phoneticPr fontId="3"/>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10"/>
    <pageSetUpPr autoPageBreaks="0"/>
  </sheetPr>
  <dimension ref="B2:J41"/>
  <sheetViews>
    <sheetView showGridLines="0" zoomScaleNormal="100" workbookViewId="0">
      <selection activeCell="A2" sqref="A2"/>
    </sheetView>
  </sheetViews>
  <sheetFormatPr defaultRowHeight="13.5" x14ac:dyDescent="0.15"/>
  <cols>
    <col min="1" max="1" width="3.875" customWidth="1"/>
    <col min="2" max="2" width="2.875" customWidth="1"/>
    <col min="3" max="9" width="9.375" customWidth="1"/>
    <col min="10" max="10" width="17.875" customWidth="1"/>
  </cols>
  <sheetData>
    <row r="2" spans="2:10" ht="25.5" customHeight="1" thickBot="1" x14ac:dyDescent="0.2"/>
    <row r="3" spans="2:10" ht="14.25" x14ac:dyDescent="0.15">
      <c r="B3" s="863"/>
      <c r="C3" s="864"/>
      <c r="D3" s="864"/>
      <c r="E3" s="864"/>
      <c r="F3" s="864"/>
      <c r="G3" s="864"/>
      <c r="H3" s="864"/>
      <c r="I3" s="864"/>
      <c r="J3" s="865"/>
    </row>
    <row r="4" spans="2:10" ht="14.25" x14ac:dyDescent="0.15">
      <c r="B4" s="866"/>
      <c r="C4" s="867" t="s">
        <v>35</v>
      </c>
      <c r="D4" s="868"/>
      <c r="E4" s="868"/>
      <c r="F4" s="868"/>
      <c r="G4" s="868"/>
      <c r="H4" s="868"/>
      <c r="I4" s="868"/>
      <c r="J4" s="869"/>
    </row>
    <row r="5" spans="2:10" ht="14.25" x14ac:dyDescent="0.15">
      <c r="B5" s="866"/>
      <c r="C5" s="868"/>
      <c r="D5" s="868"/>
      <c r="E5" s="868"/>
      <c r="F5" s="868"/>
      <c r="G5" s="868"/>
      <c r="H5" s="868"/>
      <c r="I5" s="868"/>
      <c r="J5" s="869"/>
    </row>
    <row r="6" spans="2:10" ht="14.25" x14ac:dyDescent="0.15">
      <c r="B6" s="866"/>
      <c r="C6" s="867" t="s">
        <v>36</v>
      </c>
      <c r="D6" s="868"/>
      <c r="E6" s="868"/>
      <c r="F6" s="868"/>
      <c r="G6" s="868"/>
      <c r="H6" s="868"/>
      <c r="I6" s="868"/>
      <c r="J6" s="869"/>
    </row>
    <row r="7" spans="2:10" ht="14.25" x14ac:dyDescent="0.15">
      <c r="B7" s="866"/>
      <c r="C7" s="868" t="s">
        <v>37</v>
      </c>
      <c r="D7" s="868"/>
      <c r="E7" s="868"/>
      <c r="F7" s="868"/>
      <c r="G7" s="868"/>
      <c r="H7" s="868"/>
      <c r="I7" s="868"/>
      <c r="J7" s="869"/>
    </row>
    <row r="8" spans="2:10" ht="14.25" x14ac:dyDescent="0.15">
      <c r="B8" s="866"/>
      <c r="C8" s="868" t="s">
        <v>38</v>
      </c>
      <c r="D8" s="868"/>
      <c r="E8" s="868"/>
      <c r="F8" s="868"/>
      <c r="G8" s="868"/>
      <c r="H8" s="868"/>
      <c r="I8" s="868"/>
      <c r="J8" s="869"/>
    </row>
    <row r="9" spans="2:10" ht="14.25" x14ac:dyDescent="0.15">
      <c r="B9" s="866"/>
      <c r="C9" s="868" t="s">
        <v>39</v>
      </c>
      <c r="D9" s="868"/>
      <c r="E9" s="868"/>
      <c r="F9" s="868"/>
      <c r="G9" s="868"/>
      <c r="H9" s="868"/>
      <c r="I9" s="868"/>
      <c r="J9" s="869"/>
    </row>
    <row r="10" spans="2:10" ht="14.25" x14ac:dyDescent="0.15">
      <c r="B10" s="866"/>
      <c r="C10" s="868"/>
      <c r="D10" s="868"/>
      <c r="E10" s="868"/>
      <c r="F10" s="868"/>
      <c r="G10" s="868"/>
      <c r="H10" s="868"/>
      <c r="I10" s="868"/>
      <c r="J10" s="869"/>
    </row>
    <row r="11" spans="2:10" ht="14.25" x14ac:dyDescent="0.15">
      <c r="B11" s="866"/>
      <c r="C11" s="867" t="s">
        <v>176</v>
      </c>
      <c r="D11" s="868"/>
      <c r="E11" s="868"/>
      <c r="F11" s="868"/>
      <c r="G11" s="868"/>
      <c r="H11" s="868"/>
      <c r="I11" s="868"/>
      <c r="J11" s="869"/>
    </row>
    <row r="12" spans="2:10" ht="14.25" x14ac:dyDescent="0.15">
      <c r="B12" s="866"/>
      <c r="C12" s="868" t="s">
        <v>177</v>
      </c>
      <c r="D12" s="868"/>
      <c r="E12" s="868"/>
      <c r="F12" s="868"/>
      <c r="G12" s="868"/>
      <c r="H12" s="868"/>
      <c r="I12" s="868"/>
      <c r="J12" s="869"/>
    </row>
    <row r="13" spans="2:10" ht="14.25" x14ac:dyDescent="0.15">
      <c r="B13" s="866"/>
      <c r="C13" s="868" t="s">
        <v>178</v>
      </c>
      <c r="D13" s="868"/>
      <c r="E13" s="868"/>
      <c r="F13" s="868"/>
      <c r="G13" s="868"/>
      <c r="H13" s="868"/>
      <c r="I13" s="868"/>
      <c r="J13" s="869"/>
    </row>
    <row r="14" spans="2:10" ht="14.25" x14ac:dyDescent="0.15">
      <c r="B14" s="866"/>
      <c r="C14" s="868"/>
      <c r="D14" s="868"/>
      <c r="E14" s="868"/>
      <c r="F14" s="868"/>
      <c r="G14" s="868"/>
      <c r="H14" s="868"/>
      <c r="I14" s="868"/>
      <c r="J14" s="869"/>
    </row>
    <row r="15" spans="2:10" ht="14.25" x14ac:dyDescent="0.15">
      <c r="B15" s="866"/>
      <c r="C15" s="867" t="s">
        <v>40</v>
      </c>
      <c r="D15" s="868"/>
      <c r="E15" s="868"/>
      <c r="F15" s="868"/>
      <c r="G15" s="868"/>
      <c r="H15" s="868"/>
      <c r="I15" s="868"/>
      <c r="J15" s="869"/>
    </row>
    <row r="16" spans="2:10" ht="14.25" x14ac:dyDescent="0.15">
      <c r="B16" s="866"/>
      <c r="C16" s="868" t="s">
        <v>41</v>
      </c>
      <c r="D16" s="868"/>
      <c r="E16" s="868"/>
      <c r="F16" s="868"/>
      <c r="G16" s="868"/>
      <c r="H16" s="868"/>
      <c r="I16" s="868"/>
      <c r="J16" s="869"/>
    </row>
    <row r="17" spans="2:10" ht="14.25" x14ac:dyDescent="0.15">
      <c r="B17" s="866"/>
      <c r="C17" s="868" t="s">
        <v>175</v>
      </c>
      <c r="D17" s="868"/>
      <c r="E17" s="868"/>
      <c r="F17" s="868"/>
      <c r="G17" s="868"/>
      <c r="H17" s="868"/>
      <c r="I17" s="868"/>
      <c r="J17" s="869"/>
    </row>
    <row r="18" spans="2:10" ht="14.25" x14ac:dyDescent="0.15">
      <c r="B18" s="866"/>
      <c r="C18" s="868"/>
      <c r="D18" s="868"/>
      <c r="E18" s="868"/>
      <c r="F18" s="868"/>
      <c r="G18" s="868"/>
      <c r="H18" s="868"/>
      <c r="I18" s="868"/>
      <c r="J18" s="869"/>
    </row>
    <row r="19" spans="2:10" ht="14.25" x14ac:dyDescent="0.15">
      <c r="B19" s="866"/>
      <c r="C19" s="867" t="s">
        <v>377</v>
      </c>
      <c r="D19" s="868"/>
      <c r="E19" s="868"/>
      <c r="F19" s="868"/>
      <c r="G19" s="868"/>
      <c r="H19" s="868"/>
      <c r="I19" s="868"/>
      <c r="J19" s="869"/>
    </row>
    <row r="20" spans="2:10" ht="14.25" x14ac:dyDescent="0.15">
      <c r="B20" s="866"/>
      <c r="C20" s="868" t="s">
        <v>378</v>
      </c>
      <c r="D20" s="868"/>
      <c r="E20" s="868"/>
      <c r="F20" s="868"/>
      <c r="G20" s="868"/>
      <c r="H20" s="868"/>
      <c r="I20" s="868"/>
      <c r="J20" s="869"/>
    </row>
    <row r="21" spans="2:10" ht="14.25" x14ac:dyDescent="0.15">
      <c r="B21" s="866"/>
      <c r="C21" s="868" t="s">
        <v>379</v>
      </c>
      <c r="D21" s="868"/>
      <c r="E21" s="868"/>
      <c r="F21" s="868"/>
      <c r="G21" s="868"/>
      <c r="H21" s="868"/>
      <c r="I21" s="868"/>
      <c r="J21" s="869"/>
    </row>
    <row r="22" spans="2:10" ht="14.25" x14ac:dyDescent="0.15">
      <c r="B22" s="866"/>
      <c r="C22" s="868"/>
      <c r="D22" s="868"/>
      <c r="E22" s="868"/>
      <c r="F22" s="868"/>
      <c r="G22" s="868"/>
      <c r="H22" s="868"/>
      <c r="I22" s="868"/>
      <c r="J22" s="869"/>
    </row>
    <row r="23" spans="2:10" ht="14.25" x14ac:dyDescent="0.15">
      <c r="B23" s="866"/>
      <c r="C23" s="868"/>
      <c r="D23" s="868" t="s">
        <v>42</v>
      </c>
      <c r="E23" s="868"/>
      <c r="F23" s="868"/>
      <c r="G23" s="868"/>
      <c r="H23" s="868"/>
      <c r="I23" s="868"/>
      <c r="J23" s="869"/>
    </row>
    <row r="24" spans="2:10" ht="14.25" x14ac:dyDescent="0.15">
      <c r="B24" s="866"/>
      <c r="C24" s="868"/>
      <c r="D24" s="868" t="s">
        <v>43</v>
      </c>
      <c r="E24" s="868"/>
      <c r="F24" s="868"/>
      <c r="G24" s="1067">
        <v>45297</v>
      </c>
      <c r="H24" s="1067"/>
      <c r="I24" s="868"/>
      <c r="J24" s="869"/>
    </row>
    <row r="25" spans="2:10" ht="15" thickBot="1" x14ac:dyDescent="0.2">
      <c r="B25" s="870"/>
      <c r="C25" s="871"/>
      <c r="D25" s="871"/>
      <c r="E25" s="871"/>
      <c r="F25" s="871"/>
      <c r="G25" s="871"/>
      <c r="H25" s="871"/>
      <c r="I25" s="871"/>
      <c r="J25" s="872"/>
    </row>
    <row r="26" spans="2:10" x14ac:dyDescent="0.15">
      <c r="C26" s="873"/>
      <c r="D26" s="873"/>
      <c r="E26" s="873"/>
      <c r="F26" s="873"/>
      <c r="G26" s="874"/>
      <c r="H26" s="873"/>
      <c r="I26" s="873"/>
    </row>
    <row r="27" spans="2:10" x14ac:dyDescent="0.15">
      <c r="C27" s="873"/>
      <c r="D27" s="873"/>
      <c r="E27" s="873"/>
      <c r="F27" s="873"/>
      <c r="G27" s="873"/>
      <c r="H27" s="873"/>
      <c r="I27" s="873"/>
    </row>
    <row r="28" spans="2:10" x14ac:dyDescent="0.15">
      <c r="C28" s="873"/>
      <c r="D28" s="874"/>
      <c r="E28" s="873"/>
      <c r="F28" s="873"/>
      <c r="G28" s="873"/>
      <c r="H28" s="873"/>
    </row>
    <row r="29" spans="2:10" x14ac:dyDescent="0.15">
      <c r="C29" s="873"/>
      <c r="D29" s="873"/>
      <c r="E29" s="873"/>
      <c r="F29" s="873"/>
      <c r="G29" s="873"/>
      <c r="H29" s="873"/>
    </row>
    <row r="30" spans="2:10" x14ac:dyDescent="0.15">
      <c r="C30" s="873"/>
      <c r="D30" s="873"/>
      <c r="E30" s="873"/>
      <c r="F30" s="873"/>
      <c r="G30" s="873"/>
      <c r="H30" s="873"/>
    </row>
    <row r="41" spans="3:3" x14ac:dyDescent="0.15">
      <c r="C41" s="875"/>
    </row>
  </sheetData>
  <sheetProtection sheet="1" objects="1" scenarios="1"/>
  <mergeCells count="1">
    <mergeCell ref="G24:H24"/>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00238-231D-4B43-A66D-004C6673DA22}">
  <sheetPr>
    <tabColor rgb="FFFF33CC"/>
  </sheetPr>
  <dimension ref="A1:AM113"/>
  <sheetViews>
    <sheetView showGridLines="0" zoomScaleNormal="100" workbookViewId="0">
      <pane xSplit="3" ySplit="9" topLeftCell="D10" activePane="bottomRight" state="frozen"/>
      <selection pane="topRight" activeCell="D1" sqref="D1"/>
      <selection pane="bottomLeft" activeCell="A8" sqref="A8"/>
      <selection pane="bottomRight" activeCell="B4" sqref="B4"/>
    </sheetView>
  </sheetViews>
  <sheetFormatPr defaultRowHeight="14.25" x14ac:dyDescent="0.15"/>
  <cols>
    <col min="1" max="1" width="5.125" style="139" customWidth="1"/>
    <col min="2" max="2" width="4.75" style="139" customWidth="1"/>
    <col min="3" max="3" width="12.625" style="149" customWidth="1"/>
    <col min="4" max="5" width="13.25" style="140" customWidth="1"/>
    <col min="6" max="6" width="10.75" style="140" customWidth="1"/>
    <col min="7" max="8" width="13.25" style="140" customWidth="1"/>
    <col min="9" max="12" width="4.75" style="140" customWidth="1"/>
    <col min="13" max="13" width="10.75" style="141" customWidth="1"/>
    <col min="14" max="15" width="10.75" style="139" customWidth="1"/>
    <col min="16" max="16" width="10.625" style="139" customWidth="1"/>
    <col min="17" max="19" width="10.625" style="151" customWidth="1"/>
    <col min="20" max="20" width="12.25" style="152" customWidth="1"/>
    <col min="21" max="21" width="14.875" style="152" customWidth="1"/>
    <col min="22" max="22" width="12.625" style="152" customWidth="1"/>
    <col min="23" max="24" width="12.625" style="141" customWidth="1"/>
    <col min="25" max="25" width="17.875" style="141" customWidth="1"/>
    <col min="26" max="31" width="12.625" style="141" customWidth="1"/>
    <col min="32" max="33" width="11.625" style="141" customWidth="1"/>
    <col min="34" max="35" width="17.625" style="152" customWidth="1"/>
    <col min="36" max="36" width="14.875" style="152" customWidth="1"/>
    <col min="37" max="38" width="14.125" style="141" customWidth="1"/>
    <col min="39" max="39" width="14.25" style="140" customWidth="1"/>
    <col min="40" max="16384" width="9" style="140"/>
  </cols>
  <sheetData>
    <row r="1" spans="1:39" s="207" customFormat="1" ht="19.5" customHeight="1" thickBot="1" x14ac:dyDescent="0.2">
      <c r="A1" s="206"/>
      <c r="B1" s="206"/>
      <c r="C1" s="206">
        <v>1</v>
      </c>
      <c r="D1" s="206">
        <v>2</v>
      </c>
      <c r="E1" s="206">
        <v>3</v>
      </c>
      <c r="F1" s="206">
        <v>4</v>
      </c>
      <c r="G1" s="206">
        <v>5</v>
      </c>
      <c r="H1" s="206">
        <v>6</v>
      </c>
      <c r="I1" s="206">
        <v>7</v>
      </c>
      <c r="J1" s="206">
        <v>8</v>
      </c>
      <c r="K1" s="206">
        <v>9</v>
      </c>
      <c r="L1" s="206">
        <v>10</v>
      </c>
      <c r="M1" s="206">
        <v>11</v>
      </c>
      <c r="N1" s="206">
        <v>12</v>
      </c>
      <c r="O1" s="206">
        <v>13</v>
      </c>
      <c r="P1" s="206">
        <v>14</v>
      </c>
      <c r="Q1" s="206">
        <v>15</v>
      </c>
      <c r="R1" s="206">
        <v>16</v>
      </c>
      <c r="S1" s="206">
        <v>17</v>
      </c>
      <c r="T1" s="206">
        <v>18</v>
      </c>
      <c r="U1" s="206">
        <v>19</v>
      </c>
      <c r="V1" s="206">
        <v>20</v>
      </c>
      <c r="W1" s="206">
        <v>21</v>
      </c>
      <c r="X1" s="206">
        <v>22</v>
      </c>
      <c r="Y1" s="206">
        <v>23</v>
      </c>
      <c r="Z1" s="206">
        <v>24</v>
      </c>
      <c r="AA1" s="206">
        <v>25</v>
      </c>
      <c r="AB1" s="206">
        <v>26</v>
      </c>
      <c r="AC1" s="206">
        <v>27</v>
      </c>
      <c r="AD1" s="206">
        <v>28</v>
      </c>
      <c r="AE1" s="206">
        <v>29</v>
      </c>
      <c r="AF1" s="206">
        <v>30</v>
      </c>
      <c r="AG1" s="206">
        <v>31</v>
      </c>
      <c r="AH1" s="206">
        <v>32</v>
      </c>
      <c r="AI1" s="206">
        <v>33</v>
      </c>
      <c r="AJ1" s="206">
        <v>34</v>
      </c>
      <c r="AK1" s="206">
        <v>35</v>
      </c>
      <c r="AL1" s="206">
        <v>36</v>
      </c>
      <c r="AM1" s="206"/>
    </row>
    <row r="2" spans="1:39" s="211" customFormat="1" ht="27" customHeight="1" x14ac:dyDescent="0.15">
      <c r="A2" s="208" t="s">
        <v>149</v>
      </c>
      <c r="B2" s="209"/>
      <c r="C2" s="210"/>
      <c r="F2" s="212"/>
      <c r="G2" s="213"/>
      <c r="H2" s="212"/>
      <c r="I2" s="214"/>
      <c r="L2" s="215"/>
      <c r="M2" s="481"/>
      <c r="N2" s="891">
        <v>3</v>
      </c>
      <c r="O2" s="216"/>
      <c r="P2" s="216"/>
      <c r="Q2" s="217"/>
      <c r="R2" s="217"/>
      <c r="S2" s="217"/>
      <c r="T2" s="218"/>
      <c r="U2" s="218"/>
      <c r="V2" s="219"/>
      <c r="W2" s="220"/>
      <c r="X2" s="220"/>
      <c r="Y2" s="220"/>
      <c r="Z2" s="220"/>
      <c r="AA2" s="220"/>
      <c r="AB2" s="220"/>
      <c r="AC2" s="220"/>
      <c r="AD2" s="220"/>
      <c r="AE2" s="220"/>
      <c r="AF2" s="220"/>
      <c r="AG2" s="220"/>
      <c r="AH2" s="218"/>
      <c r="AI2" s="218"/>
      <c r="AJ2" s="218"/>
      <c r="AK2" s="220"/>
      <c r="AL2" s="220"/>
    </row>
    <row r="3" spans="1:39" s="211" customFormat="1" ht="16.5" customHeight="1" thickBot="1" x14ac:dyDescent="0.25">
      <c r="A3" s="209"/>
      <c r="B3" s="209"/>
      <c r="C3" s="210"/>
      <c r="D3" s="221" t="s">
        <v>70</v>
      </c>
      <c r="E3" s="222"/>
      <c r="F3" s="216"/>
      <c r="G3" s="216"/>
      <c r="H3" s="216"/>
      <c r="I3" s="896" t="s">
        <v>71</v>
      </c>
      <c r="J3" s="896"/>
      <c r="K3" s="896"/>
      <c r="L3" s="215"/>
      <c r="M3" s="230"/>
      <c r="N3" s="892"/>
      <c r="O3" s="340"/>
      <c r="P3" s="340"/>
      <c r="Q3" s="340"/>
      <c r="R3" s="340"/>
      <c r="S3" s="340"/>
      <c r="T3" s="340"/>
      <c r="U3" s="223"/>
      <c r="W3" s="225"/>
      <c r="X3" s="225"/>
      <c r="Y3" s="225"/>
      <c r="Z3" s="225"/>
      <c r="AA3" s="225"/>
      <c r="AB3" s="224" t="s">
        <v>27</v>
      </c>
      <c r="AC3" s="225"/>
      <c r="AD3" s="225"/>
      <c r="AE3" s="225"/>
      <c r="AF3" s="225"/>
      <c r="AG3" s="225"/>
      <c r="AH3" s="219"/>
      <c r="AI3" s="219"/>
      <c r="AJ3" s="219"/>
      <c r="AK3" s="225"/>
      <c r="AL3" s="225"/>
    </row>
    <row r="4" spans="1:39" s="211" customFormat="1" ht="16.5" customHeight="1" x14ac:dyDescent="0.2">
      <c r="A4" s="209"/>
      <c r="B4" s="209"/>
      <c r="C4" s="210"/>
      <c r="D4" s="142">
        <f ca="1">NOW()</f>
        <v>45300.44447303241</v>
      </c>
      <c r="F4" s="212"/>
      <c r="G4" s="212"/>
      <c r="H4" s="212"/>
      <c r="I4" s="897">
        <v>45017</v>
      </c>
      <c r="J4" s="898"/>
      <c r="K4" s="899"/>
      <c r="L4" s="215"/>
      <c r="M4" s="230"/>
      <c r="N4" s="451"/>
      <c r="O4" s="231"/>
      <c r="P4" s="231"/>
      <c r="Q4" s="231"/>
      <c r="R4" s="231"/>
      <c r="S4" s="231"/>
      <c r="T4" s="231"/>
      <c r="U4" s="226"/>
      <c r="V4" s="219"/>
      <c r="W4" s="224" t="s">
        <v>27</v>
      </c>
      <c r="X4" s="227"/>
      <c r="Y4" s="227"/>
      <c r="Z4" s="227"/>
      <c r="AA4" s="227"/>
      <c r="AB4" s="225"/>
      <c r="AC4" s="227"/>
      <c r="AD4" s="227"/>
      <c r="AE4" s="227"/>
      <c r="AF4" s="227"/>
      <c r="AG4" s="227"/>
      <c r="AH4" s="219"/>
      <c r="AI4" s="219"/>
      <c r="AJ4" s="228"/>
      <c r="AK4" s="227"/>
      <c r="AL4" s="227"/>
    </row>
    <row r="5" spans="1:39" s="211" customFormat="1" ht="16.5" customHeight="1" x14ac:dyDescent="0.15">
      <c r="A5" s="209"/>
      <c r="B5" s="209"/>
      <c r="C5" s="210"/>
      <c r="D5" s="229"/>
      <c r="E5" s="229"/>
      <c r="F5" s="212"/>
      <c r="G5" s="212"/>
      <c r="H5" s="212"/>
      <c r="I5" s="194"/>
      <c r="J5" s="194"/>
      <c r="K5" s="194"/>
      <c r="L5" s="215"/>
      <c r="M5" s="230"/>
      <c r="N5" s="231"/>
      <c r="O5" s="231"/>
      <c r="P5" s="231"/>
      <c r="Q5" s="231"/>
      <c r="R5" s="231"/>
      <c r="S5" s="231"/>
      <c r="T5" s="231"/>
      <c r="U5" s="226"/>
      <c r="V5" s="232" t="s">
        <v>154</v>
      </c>
      <c r="X5" s="227"/>
      <c r="Y5" s="227"/>
      <c r="Z5" s="227"/>
      <c r="AA5" s="227"/>
      <c r="AB5" s="227"/>
      <c r="AC5" s="227"/>
      <c r="AD5" s="233" t="s">
        <v>261</v>
      </c>
      <c r="AE5" s="225"/>
      <c r="AF5" s="227"/>
      <c r="AG5" s="227"/>
      <c r="AH5" s="219"/>
      <c r="AI5" s="219"/>
      <c r="AJ5" s="228"/>
      <c r="AK5" s="227"/>
      <c r="AL5" s="227"/>
    </row>
    <row r="6" spans="1:39" s="211" customFormat="1" ht="16.5" customHeight="1" x14ac:dyDescent="0.15">
      <c r="A6" s="209"/>
      <c r="B6" s="209"/>
      <c r="C6" s="210"/>
      <c r="D6" s="229"/>
      <c r="E6" s="229"/>
      <c r="F6" s="212"/>
      <c r="G6" s="212"/>
      <c r="H6" s="212"/>
      <c r="I6" s="194"/>
      <c r="J6" s="194"/>
      <c r="K6" s="194"/>
      <c r="L6" s="215"/>
      <c r="M6" s="230"/>
      <c r="N6" s="231"/>
      <c r="O6" s="231"/>
      <c r="P6" s="231"/>
      <c r="Q6" s="231"/>
      <c r="R6" s="231"/>
      <c r="S6" s="231"/>
      <c r="T6" s="231"/>
      <c r="U6" s="226"/>
      <c r="V6" s="234" t="s">
        <v>251</v>
      </c>
      <c r="W6" s="235"/>
      <c r="X6" s="227"/>
      <c r="Y6" s="225"/>
      <c r="Z6" s="236" t="s">
        <v>248</v>
      </c>
      <c r="AA6" s="236"/>
      <c r="AB6" s="227"/>
      <c r="AC6" s="227"/>
      <c r="AD6" s="227"/>
      <c r="AE6" s="236" t="s">
        <v>260</v>
      </c>
      <c r="AF6" s="227"/>
      <c r="AG6" s="227"/>
      <c r="AH6" s="219"/>
      <c r="AI6" s="219"/>
      <c r="AJ6" s="228"/>
      <c r="AK6" s="227"/>
      <c r="AL6" s="227"/>
    </row>
    <row r="7" spans="1:39" s="211" customFormat="1" ht="13.5" customHeight="1" thickBot="1" x14ac:dyDescent="0.2">
      <c r="A7" s="209"/>
      <c r="B7" s="209"/>
      <c r="C7" s="210"/>
      <c r="D7" s="212"/>
      <c r="E7" s="232" t="s">
        <v>154</v>
      </c>
      <c r="F7" s="212"/>
      <c r="G7" s="212"/>
      <c r="H7" s="212"/>
      <c r="I7" s="212"/>
      <c r="J7" s="212"/>
      <c r="K7" s="212"/>
      <c r="L7" s="215"/>
      <c r="M7" s="482"/>
      <c r="N7" s="483"/>
      <c r="O7" s="484"/>
      <c r="P7" s="483"/>
      <c r="Q7" s="237"/>
      <c r="R7" s="485"/>
      <c r="S7" s="485"/>
      <c r="T7" s="223"/>
      <c r="U7" s="223"/>
      <c r="V7" s="238" t="s">
        <v>262</v>
      </c>
      <c r="W7" s="239"/>
      <c r="X7" s="240"/>
      <c r="Y7" s="240"/>
      <c r="Z7" s="240"/>
      <c r="AA7" s="240"/>
      <c r="AB7" s="240"/>
      <c r="AC7" s="240"/>
      <c r="AD7" s="241" t="s">
        <v>249</v>
      </c>
      <c r="AE7" s="225"/>
      <c r="AF7" s="242"/>
      <c r="AG7" s="242"/>
      <c r="AH7" s="223"/>
      <c r="AI7" s="223"/>
      <c r="AJ7" s="219"/>
      <c r="AK7" s="242"/>
      <c r="AL7" s="242"/>
      <c r="AM7" s="243"/>
    </row>
    <row r="8" spans="1:39" s="211" customFormat="1" ht="15.75" customHeight="1" thickBot="1" x14ac:dyDescent="0.2">
      <c r="A8" s="900" t="s">
        <v>72</v>
      </c>
      <c r="B8" s="244" t="s">
        <v>73</v>
      </c>
      <c r="C8" s="902" t="s">
        <v>155</v>
      </c>
      <c r="D8" s="904" t="s">
        <v>156</v>
      </c>
      <c r="E8" s="882" t="s">
        <v>157</v>
      </c>
      <c r="F8" s="905" t="s">
        <v>69</v>
      </c>
      <c r="G8" s="904" t="s">
        <v>158</v>
      </c>
      <c r="H8" s="905" t="s">
        <v>78</v>
      </c>
      <c r="I8" s="907" t="s">
        <v>19</v>
      </c>
      <c r="J8" s="908"/>
      <c r="K8" s="908" t="s">
        <v>74</v>
      </c>
      <c r="L8" s="908"/>
      <c r="M8" s="883" t="s">
        <v>159</v>
      </c>
      <c r="N8" s="904" t="s">
        <v>160</v>
      </c>
      <c r="O8" s="882" t="s">
        <v>292</v>
      </c>
      <c r="P8" s="882" t="s">
        <v>293</v>
      </c>
      <c r="Q8" s="893" t="s">
        <v>47</v>
      </c>
      <c r="R8" s="894"/>
      <c r="S8" s="895"/>
      <c r="T8" s="884" t="s">
        <v>100</v>
      </c>
      <c r="U8" s="884"/>
      <c r="V8" s="249" t="s">
        <v>252</v>
      </c>
      <c r="W8" s="250"/>
      <c r="X8" s="251"/>
      <c r="Y8" s="251"/>
      <c r="Z8" s="251"/>
      <c r="AA8" s="251"/>
      <c r="AB8" s="251"/>
      <c r="AC8" s="251"/>
      <c r="AD8" s="251"/>
      <c r="AE8" s="251" t="s">
        <v>249</v>
      </c>
      <c r="AF8" s="885" t="s">
        <v>253</v>
      </c>
      <c r="AG8" s="887" t="s">
        <v>254</v>
      </c>
      <c r="AH8" s="889" t="s">
        <v>250</v>
      </c>
      <c r="AI8" s="877" t="s">
        <v>80</v>
      </c>
      <c r="AJ8" s="879" t="s">
        <v>167</v>
      </c>
      <c r="AK8" s="880"/>
      <c r="AL8" s="881"/>
    </row>
    <row r="9" spans="1:39" s="211" customFormat="1" ht="28.5" customHeight="1" thickBot="1" x14ac:dyDescent="0.2">
      <c r="A9" s="901"/>
      <c r="B9" s="252" t="s">
        <v>75</v>
      </c>
      <c r="C9" s="903"/>
      <c r="D9" s="905"/>
      <c r="E9" s="906"/>
      <c r="F9" s="905"/>
      <c r="G9" s="905"/>
      <c r="H9" s="905"/>
      <c r="I9" s="246" t="s">
        <v>76</v>
      </c>
      <c r="J9" s="247" t="s">
        <v>77</v>
      </c>
      <c r="K9" s="247" t="s">
        <v>76</v>
      </c>
      <c r="L9" s="247" t="s">
        <v>77</v>
      </c>
      <c r="M9" s="905"/>
      <c r="N9" s="905"/>
      <c r="O9" s="883"/>
      <c r="P9" s="883"/>
      <c r="Q9" s="335" t="s">
        <v>295</v>
      </c>
      <c r="R9" s="335" t="s">
        <v>294</v>
      </c>
      <c r="S9" s="335" t="s">
        <v>290</v>
      </c>
      <c r="T9" s="248" t="s">
        <v>101</v>
      </c>
      <c r="U9" s="253" t="s">
        <v>102</v>
      </c>
      <c r="V9" s="524" t="s">
        <v>104</v>
      </c>
      <c r="W9" s="525"/>
      <c r="X9" s="521" t="s">
        <v>244</v>
      </c>
      <c r="Y9" s="522" t="s">
        <v>247</v>
      </c>
      <c r="Z9" s="522" t="s">
        <v>246</v>
      </c>
      <c r="AA9" s="522" t="s">
        <v>245</v>
      </c>
      <c r="AB9" s="522" t="s">
        <v>242</v>
      </c>
      <c r="AC9" s="522" t="s">
        <v>243</v>
      </c>
      <c r="AD9" s="523"/>
      <c r="AE9" s="526" t="s">
        <v>99</v>
      </c>
      <c r="AF9" s="886"/>
      <c r="AG9" s="888"/>
      <c r="AH9" s="890"/>
      <c r="AI9" s="878"/>
      <c r="AJ9" s="245" t="s">
        <v>152</v>
      </c>
      <c r="AK9" s="245" t="s">
        <v>153</v>
      </c>
      <c r="AL9" s="247" t="s">
        <v>162</v>
      </c>
    </row>
    <row r="10" spans="1:39" s="145" customFormat="1" ht="20.100000000000001" customHeight="1" x14ac:dyDescent="0.15">
      <c r="A10" s="143">
        <f>IF(D10="","",A9+1)</f>
        <v>1</v>
      </c>
      <c r="B10" s="134">
        <v>1</v>
      </c>
      <c r="C10" s="158">
        <v>101</v>
      </c>
      <c r="D10" s="159" t="s">
        <v>355</v>
      </c>
      <c r="E10" s="159" t="s">
        <v>126</v>
      </c>
      <c r="F10" s="160"/>
      <c r="G10" s="161">
        <v>33785</v>
      </c>
      <c r="H10" s="161">
        <v>42070</v>
      </c>
      <c r="I10" s="162">
        <f>IF(G10="","",DATEDIF(G10-1,$I$4,"Y"))</f>
        <v>30</v>
      </c>
      <c r="J10" s="162">
        <f t="shared" ref="J10:J73" si="0">IF(G10="","",DATEDIF(G10-1,$I$4,"YM"))</f>
        <v>9</v>
      </c>
      <c r="K10" s="162">
        <f t="shared" ref="K10:K73" si="1">IF(H10="","",DATEDIF(H10-1,$I$4,"Y"))</f>
        <v>8</v>
      </c>
      <c r="L10" s="162">
        <f t="shared" ref="L10:L73" si="2">IF(H10="","",DATEDIF(H10-1,$I$4,"YM"))</f>
        <v>0</v>
      </c>
      <c r="M10" s="144">
        <v>5</v>
      </c>
      <c r="N10" s="172">
        <v>6</v>
      </c>
      <c r="O10" s="201">
        <f t="shared" ref="O10:O74" si="3">IF($C10="","",$M10*$N10)</f>
        <v>30</v>
      </c>
      <c r="P10" s="202">
        <f t="shared" ref="P10:P74" si="4">IF($O10="","",365/7*$O10)</f>
        <v>1564.2857142857144</v>
      </c>
      <c r="Q10" s="153">
        <v>1070</v>
      </c>
      <c r="R10" s="337">
        <v>30</v>
      </c>
      <c r="S10" s="341">
        <f>IF($Q10="","",$Q10+$R10)</f>
        <v>1100</v>
      </c>
      <c r="T10" s="203">
        <f>IF($Q10="","",$P10*$Q10)</f>
        <v>1673785.7142857146</v>
      </c>
      <c r="U10" s="342">
        <f>IF($Q10="","",$T10/12)</f>
        <v>139482.14285714287</v>
      </c>
      <c r="V10" s="346"/>
      <c r="W10" s="347"/>
      <c r="X10" s="344">
        <v>2500</v>
      </c>
      <c r="Y10" s="333"/>
      <c r="Z10" s="333"/>
      <c r="AA10" s="333"/>
      <c r="AB10" s="333"/>
      <c r="AC10" s="333"/>
      <c r="AD10" s="347"/>
      <c r="AE10" s="355">
        <v>2000</v>
      </c>
      <c r="AF10" s="531">
        <f>IF($Q10="","",SUM($U10:$W10))</f>
        <v>139482.14285714287</v>
      </c>
      <c r="AG10" s="529">
        <f>IF($Q10="","",SUM($U10:$AD10))</f>
        <v>141982.14285714287</v>
      </c>
      <c r="AH10" s="527">
        <f>IF($Q10="","",SUM($U10:$AE10))</f>
        <v>143982.14285714287</v>
      </c>
      <c r="AI10" s="203">
        <f>IF($C10="","",VLOOKUP($AH10,'3-1.標準報酬月額・保険料表'!$N$8:$O$57,2,TRUE))</f>
        <v>142000</v>
      </c>
      <c r="AJ10" s="144">
        <v>50000</v>
      </c>
      <c r="AK10" s="144">
        <v>75000</v>
      </c>
      <c r="AL10" s="203">
        <f>IF($AJ10+$AK10=0,0,AJ10+$AK10)</f>
        <v>125000</v>
      </c>
    </row>
    <row r="11" spans="1:39" s="145" customFormat="1" ht="20.100000000000001" customHeight="1" x14ac:dyDescent="0.15">
      <c r="A11" s="146">
        <f t="shared" ref="A11:A74" si="5">IF(D11="","",A10+1)</f>
        <v>2</v>
      </c>
      <c r="B11" s="135">
        <v>1</v>
      </c>
      <c r="C11" s="22">
        <v>102</v>
      </c>
      <c r="D11" s="136" t="s">
        <v>356</v>
      </c>
      <c r="E11" s="136" t="s">
        <v>126</v>
      </c>
      <c r="F11" s="137"/>
      <c r="G11" s="138">
        <v>35397</v>
      </c>
      <c r="H11" s="138">
        <v>42787</v>
      </c>
      <c r="I11" s="147">
        <f>IF(G11="","",DATEDIF(G11-1,$I$4,"Y"))</f>
        <v>26</v>
      </c>
      <c r="J11" s="147">
        <f t="shared" si="0"/>
        <v>4</v>
      </c>
      <c r="K11" s="147">
        <f t="shared" si="1"/>
        <v>6</v>
      </c>
      <c r="L11" s="147">
        <f t="shared" si="2"/>
        <v>1</v>
      </c>
      <c r="M11" s="148">
        <v>5</v>
      </c>
      <c r="N11" s="173">
        <v>4</v>
      </c>
      <c r="O11" s="201">
        <f t="shared" si="3"/>
        <v>20</v>
      </c>
      <c r="P11" s="202">
        <f t="shared" si="4"/>
        <v>1042.8571428571429</v>
      </c>
      <c r="Q11" s="332">
        <v>1000</v>
      </c>
      <c r="R11" s="332">
        <v>40</v>
      </c>
      <c r="S11" s="336">
        <f>IF($Q11="","",$Q11+$R11)</f>
        <v>1040</v>
      </c>
      <c r="T11" s="204">
        <f t="shared" ref="T11:T74" si="6">IF($Q11="","",$P11*$Q11)</f>
        <v>1042857.1428571428</v>
      </c>
      <c r="U11" s="343">
        <f t="shared" ref="U11:U74" si="7">IF($Q11="","",$T11/12)</f>
        <v>86904.761904761908</v>
      </c>
      <c r="V11" s="348"/>
      <c r="W11" s="349"/>
      <c r="X11" s="345">
        <v>2000</v>
      </c>
      <c r="Y11" s="330"/>
      <c r="Z11" s="330"/>
      <c r="AA11" s="330"/>
      <c r="AB11" s="330"/>
      <c r="AC11" s="330"/>
      <c r="AD11" s="349"/>
      <c r="AE11" s="356">
        <v>2000</v>
      </c>
      <c r="AF11" s="532">
        <f t="shared" ref="AF11:AF74" si="8">IF($Q11="","",SUM($U11:$W11))</f>
        <v>86904.761904761908</v>
      </c>
      <c r="AG11" s="530">
        <f>IF($Q11="","",SUM($U11:$AD11))</f>
        <v>88904.761904761908</v>
      </c>
      <c r="AH11" s="528">
        <f t="shared" ref="AH11:AH74" si="9">IF($Q11="","",SUM($U11:$AE11))</f>
        <v>90904.761904761908</v>
      </c>
      <c r="AI11" s="204">
        <f>IF($C11="","",VLOOKUP($AH11,'3-1.標準報酬月額・保険料表'!$N$8:$O$57,2,TRUE))</f>
        <v>88000</v>
      </c>
      <c r="AJ11" s="148"/>
      <c r="AK11" s="148"/>
      <c r="AL11" s="204">
        <f t="shared" ref="AL11:AL73" si="10">IF($AJ11+$AK11=0,0,AJ11+$AK11)</f>
        <v>0</v>
      </c>
    </row>
    <row r="12" spans="1:39" s="145" customFormat="1" ht="20.100000000000001" customHeight="1" x14ac:dyDescent="0.15">
      <c r="A12" s="146">
        <f t="shared" si="5"/>
        <v>3</v>
      </c>
      <c r="B12" s="135">
        <v>2</v>
      </c>
      <c r="C12" s="22">
        <v>103</v>
      </c>
      <c r="D12" s="136" t="s">
        <v>357</v>
      </c>
      <c r="E12" s="136" t="s">
        <v>139</v>
      </c>
      <c r="F12" s="137"/>
      <c r="G12" s="138">
        <v>31236</v>
      </c>
      <c r="H12" s="138">
        <v>39520</v>
      </c>
      <c r="I12" s="147">
        <f t="shared" ref="I12:I75" si="11">IF(G12="","",DATEDIF(G12-1,$I$4,"Y"))</f>
        <v>37</v>
      </c>
      <c r="J12" s="147">
        <f t="shared" si="0"/>
        <v>8</v>
      </c>
      <c r="K12" s="147">
        <f t="shared" si="1"/>
        <v>15</v>
      </c>
      <c r="L12" s="147">
        <f t="shared" si="2"/>
        <v>0</v>
      </c>
      <c r="M12" s="148">
        <v>4</v>
      </c>
      <c r="N12" s="173">
        <v>4</v>
      </c>
      <c r="O12" s="201">
        <f t="shared" si="3"/>
        <v>16</v>
      </c>
      <c r="P12" s="202">
        <f t="shared" si="4"/>
        <v>834.28571428571433</v>
      </c>
      <c r="Q12" s="332">
        <v>960</v>
      </c>
      <c r="R12" s="332">
        <v>40</v>
      </c>
      <c r="S12" s="336">
        <f t="shared" ref="S12:S74" si="12">IF($Q12="","",$Q12+$R12)</f>
        <v>1000</v>
      </c>
      <c r="T12" s="204">
        <f>IF($Q12="","",$P12*$Q12)</f>
        <v>800914.2857142858</v>
      </c>
      <c r="U12" s="343">
        <f t="shared" si="7"/>
        <v>66742.857142857145</v>
      </c>
      <c r="V12" s="350"/>
      <c r="W12" s="349"/>
      <c r="X12" s="345">
        <v>2000</v>
      </c>
      <c r="Y12" s="330"/>
      <c r="Z12" s="330"/>
      <c r="AA12" s="330"/>
      <c r="AB12" s="330"/>
      <c r="AC12" s="330"/>
      <c r="AD12" s="349"/>
      <c r="AE12" s="356">
        <v>2500</v>
      </c>
      <c r="AF12" s="532">
        <f t="shared" si="8"/>
        <v>66742.857142857145</v>
      </c>
      <c r="AG12" s="530">
        <f t="shared" ref="AG12:AG74" si="13">IF($Q12="","",SUM($U12:$AD12))</f>
        <v>68742.857142857145</v>
      </c>
      <c r="AH12" s="528">
        <f t="shared" si="9"/>
        <v>71242.857142857145</v>
      </c>
      <c r="AI12" s="204">
        <f>IF($C12="","",VLOOKUP($AH12,'3-1.標準報酬月額・保険料表'!$N$8:$O$57,2,TRUE))</f>
        <v>68000</v>
      </c>
      <c r="AJ12" s="148"/>
      <c r="AK12" s="148"/>
      <c r="AL12" s="204">
        <f t="shared" si="10"/>
        <v>0</v>
      </c>
    </row>
    <row r="13" spans="1:39" s="145" customFormat="1" ht="20.100000000000001" customHeight="1" x14ac:dyDescent="0.15">
      <c r="A13" s="146">
        <f t="shared" si="5"/>
        <v>4</v>
      </c>
      <c r="B13" s="325">
        <v>1</v>
      </c>
      <c r="C13" s="326">
        <v>104</v>
      </c>
      <c r="D13" s="327" t="s">
        <v>358</v>
      </c>
      <c r="E13" s="327" t="s">
        <v>139</v>
      </c>
      <c r="F13" s="328"/>
      <c r="G13" s="329">
        <v>29870</v>
      </c>
      <c r="H13" s="329">
        <v>41345</v>
      </c>
      <c r="I13" s="147">
        <f t="shared" si="11"/>
        <v>41</v>
      </c>
      <c r="J13" s="147">
        <f t="shared" si="0"/>
        <v>5</v>
      </c>
      <c r="K13" s="147">
        <f t="shared" si="1"/>
        <v>10</v>
      </c>
      <c r="L13" s="147">
        <f t="shared" si="2"/>
        <v>0</v>
      </c>
      <c r="M13" s="148">
        <v>5</v>
      </c>
      <c r="N13" s="173">
        <v>4.75</v>
      </c>
      <c r="O13" s="201">
        <f t="shared" si="3"/>
        <v>23.75</v>
      </c>
      <c r="P13" s="202">
        <f t="shared" si="4"/>
        <v>1238.3928571428571</v>
      </c>
      <c r="Q13" s="332">
        <v>980</v>
      </c>
      <c r="R13" s="332">
        <v>30</v>
      </c>
      <c r="S13" s="336">
        <f t="shared" si="12"/>
        <v>1010</v>
      </c>
      <c r="T13" s="204">
        <f t="shared" si="6"/>
        <v>1213625</v>
      </c>
      <c r="U13" s="343">
        <f t="shared" si="7"/>
        <v>101135.41666666667</v>
      </c>
      <c r="V13" s="350"/>
      <c r="W13" s="349"/>
      <c r="X13" s="345">
        <v>2000</v>
      </c>
      <c r="Y13" s="330">
        <v>5000</v>
      </c>
      <c r="Z13" s="330"/>
      <c r="AA13" s="330"/>
      <c r="AB13" s="330"/>
      <c r="AC13" s="330"/>
      <c r="AD13" s="349"/>
      <c r="AE13" s="356">
        <v>2500</v>
      </c>
      <c r="AF13" s="532">
        <f t="shared" si="8"/>
        <v>101135.41666666667</v>
      </c>
      <c r="AG13" s="530">
        <f t="shared" si="13"/>
        <v>108135.41666666667</v>
      </c>
      <c r="AH13" s="528">
        <f t="shared" si="9"/>
        <v>110635.41666666667</v>
      </c>
      <c r="AI13" s="204">
        <f>IF($C13="","",VLOOKUP($AH13,'3-1.標準報酬月額・保険料表'!$N$8:$O$57,2,TRUE))</f>
        <v>110000</v>
      </c>
      <c r="AJ13" s="148">
        <v>30000</v>
      </c>
      <c r="AK13" s="148">
        <v>30000</v>
      </c>
      <c r="AL13" s="204">
        <f t="shared" si="10"/>
        <v>60000</v>
      </c>
    </row>
    <row r="14" spans="1:39" s="145" customFormat="1" ht="20.100000000000001" customHeight="1" x14ac:dyDescent="0.15">
      <c r="A14" s="146">
        <f t="shared" si="5"/>
        <v>5</v>
      </c>
      <c r="B14" s="325">
        <v>2</v>
      </c>
      <c r="C14" s="326">
        <v>105</v>
      </c>
      <c r="D14" s="327" t="s">
        <v>359</v>
      </c>
      <c r="E14" s="327" t="s">
        <v>140</v>
      </c>
      <c r="F14" s="328"/>
      <c r="G14" s="329">
        <v>34715</v>
      </c>
      <c r="H14" s="329">
        <v>42125</v>
      </c>
      <c r="I14" s="147">
        <f t="shared" si="11"/>
        <v>28</v>
      </c>
      <c r="J14" s="147">
        <f t="shared" si="0"/>
        <v>2</v>
      </c>
      <c r="K14" s="147">
        <f t="shared" si="1"/>
        <v>7</v>
      </c>
      <c r="L14" s="147">
        <f t="shared" si="2"/>
        <v>11</v>
      </c>
      <c r="M14" s="148">
        <v>5</v>
      </c>
      <c r="N14" s="173">
        <v>7</v>
      </c>
      <c r="O14" s="201">
        <f t="shared" si="3"/>
        <v>35</v>
      </c>
      <c r="P14" s="202">
        <f t="shared" si="4"/>
        <v>1825</v>
      </c>
      <c r="Q14" s="332">
        <v>980</v>
      </c>
      <c r="R14" s="332">
        <v>40</v>
      </c>
      <c r="S14" s="336">
        <f t="shared" si="12"/>
        <v>1020</v>
      </c>
      <c r="T14" s="204">
        <f t="shared" si="6"/>
        <v>1788500</v>
      </c>
      <c r="U14" s="343">
        <f t="shared" si="7"/>
        <v>149041.66666666666</v>
      </c>
      <c r="V14" s="350"/>
      <c r="W14" s="349"/>
      <c r="X14" s="345"/>
      <c r="Y14" s="330"/>
      <c r="Z14" s="330"/>
      <c r="AA14" s="330"/>
      <c r="AB14" s="330"/>
      <c r="AC14" s="330"/>
      <c r="AD14" s="349"/>
      <c r="AE14" s="356"/>
      <c r="AF14" s="532">
        <f t="shared" si="8"/>
        <v>149041.66666666666</v>
      </c>
      <c r="AG14" s="530">
        <f t="shared" si="13"/>
        <v>149041.66666666666</v>
      </c>
      <c r="AH14" s="528">
        <f t="shared" si="9"/>
        <v>149041.66666666666</v>
      </c>
      <c r="AI14" s="204">
        <f>IF($C14="","",VLOOKUP($AH14,'3-1.標準報酬月額・保険料表'!$N$8:$O$57,2,TRUE))</f>
        <v>150000</v>
      </c>
      <c r="AJ14" s="148">
        <v>50000</v>
      </c>
      <c r="AK14" s="148">
        <v>70000</v>
      </c>
      <c r="AL14" s="205">
        <f t="shared" si="10"/>
        <v>120000</v>
      </c>
    </row>
    <row r="15" spans="1:39" s="145" customFormat="1" ht="20.100000000000001" customHeight="1" x14ac:dyDescent="0.15">
      <c r="A15" s="146" t="str">
        <f t="shared" si="5"/>
        <v/>
      </c>
      <c r="B15" s="325"/>
      <c r="C15" s="326"/>
      <c r="D15" s="327"/>
      <c r="E15" s="327"/>
      <c r="F15" s="328"/>
      <c r="G15" s="329"/>
      <c r="H15" s="329"/>
      <c r="I15" s="147" t="str">
        <f t="shared" si="11"/>
        <v/>
      </c>
      <c r="J15" s="147" t="str">
        <f t="shared" si="0"/>
        <v/>
      </c>
      <c r="K15" s="147" t="str">
        <f t="shared" si="1"/>
        <v/>
      </c>
      <c r="L15" s="147" t="str">
        <f t="shared" si="2"/>
        <v/>
      </c>
      <c r="M15" s="330"/>
      <c r="N15" s="331"/>
      <c r="O15" s="201" t="str">
        <f t="shared" si="3"/>
        <v/>
      </c>
      <c r="P15" s="202" t="str">
        <f t="shared" si="4"/>
        <v/>
      </c>
      <c r="Q15" s="332"/>
      <c r="R15" s="332"/>
      <c r="S15" s="332" t="str">
        <f t="shared" si="12"/>
        <v/>
      </c>
      <c r="T15" s="204" t="str">
        <f t="shared" si="6"/>
        <v/>
      </c>
      <c r="U15" s="343" t="str">
        <f t="shared" si="7"/>
        <v/>
      </c>
      <c r="V15" s="350"/>
      <c r="W15" s="349"/>
      <c r="X15" s="345"/>
      <c r="Y15" s="330"/>
      <c r="Z15" s="333"/>
      <c r="AA15" s="330"/>
      <c r="AB15" s="330"/>
      <c r="AC15" s="330"/>
      <c r="AD15" s="349"/>
      <c r="AE15" s="356"/>
      <c r="AF15" s="532" t="str">
        <f t="shared" si="8"/>
        <v/>
      </c>
      <c r="AG15" s="530" t="str">
        <f t="shared" si="13"/>
        <v/>
      </c>
      <c r="AH15" s="528" t="str">
        <f t="shared" si="9"/>
        <v/>
      </c>
      <c r="AI15" s="204" t="str">
        <f>IF($C15="","",VLOOKUP($AH15,'3-1.標準報酬月額・保険料表'!$N$8:$O$57,2,TRUE))</f>
        <v/>
      </c>
      <c r="AJ15" s="148"/>
      <c r="AK15" s="148"/>
      <c r="AL15" s="204">
        <f t="shared" si="10"/>
        <v>0</v>
      </c>
    </row>
    <row r="16" spans="1:39" s="145" customFormat="1" ht="20.100000000000001" customHeight="1" x14ac:dyDescent="0.15">
      <c r="A16" s="146" t="str">
        <f>IF(D16="","",A15+1)</f>
        <v/>
      </c>
      <c r="B16" s="325"/>
      <c r="C16" s="326"/>
      <c r="D16" s="327"/>
      <c r="E16" s="327"/>
      <c r="F16" s="328"/>
      <c r="G16" s="329"/>
      <c r="H16" s="329"/>
      <c r="I16" s="147" t="str">
        <f t="shared" si="11"/>
        <v/>
      </c>
      <c r="J16" s="147" t="str">
        <f t="shared" si="0"/>
        <v/>
      </c>
      <c r="K16" s="147" t="str">
        <f t="shared" si="1"/>
        <v/>
      </c>
      <c r="L16" s="147" t="str">
        <f t="shared" si="2"/>
        <v/>
      </c>
      <c r="M16" s="330"/>
      <c r="N16" s="331"/>
      <c r="O16" s="201" t="str">
        <f t="shared" si="3"/>
        <v/>
      </c>
      <c r="P16" s="202" t="str">
        <f t="shared" si="4"/>
        <v/>
      </c>
      <c r="Q16" s="332"/>
      <c r="R16" s="332"/>
      <c r="S16" s="332" t="str">
        <f t="shared" si="12"/>
        <v/>
      </c>
      <c r="T16" s="204" t="str">
        <f t="shared" si="6"/>
        <v/>
      </c>
      <c r="U16" s="343" t="str">
        <f t="shared" si="7"/>
        <v/>
      </c>
      <c r="V16" s="350"/>
      <c r="W16" s="349"/>
      <c r="X16" s="345"/>
      <c r="Y16" s="330"/>
      <c r="Z16" s="330"/>
      <c r="AA16" s="330"/>
      <c r="AB16" s="330"/>
      <c r="AC16" s="330"/>
      <c r="AD16" s="349"/>
      <c r="AE16" s="356"/>
      <c r="AF16" s="532" t="str">
        <f t="shared" si="8"/>
        <v/>
      </c>
      <c r="AG16" s="530" t="str">
        <f t="shared" si="13"/>
        <v/>
      </c>
      <c r="AH16" s="528" t="str">
        <f t="shared" si="9"/>
        <v/>
      </c>
      <c r="AI16" s="204" t="str">
        <f>IF($C16="","",VLOOKUP($AH16,'3-1.標準報酬月額・保険料表'!$N$8:$O$57,2,TRUE))</f>
        <v/>
      </c>
      <c r="AJ16" s="148"/>
      <c r="AK16" s="148"/>
      <c r="AL16" s="204">
        <f t="shared" si="10"/>
        <v>0</v>
      </c>
    </row>
    <row r="17" spans="1:38" s="145" customFormat="1" ht="20.100000000000001" customHeight="1" x14ac:dyDescent="0.15">
      <c r="A17" s="146" t="str">
        <f t="shared" si="5"/>
        <v/>
      </c>
      <c r="B17" s="325"/>
      <c r="C17" s="326"/>
      <c r="D17" s="327"/>
      <c r="E17" s="327"/>
      <c r="F17" s="328"/>
      <c r="G17" s="329"/>
      <c r="H17" s="329"/>
      <c r="I17" s="147" t="str">
        <f t="shared" si="11"/>
        <v/>
      </c>
      <c r="J17" s="147" t="str">
        <f t="shared" si="0"/>
        <v/>
      </c>
      <c r="K17" s="147" t="str">
        <f t="shared" si="1"/>
        <v/>
      </c>
      <c r="L17" s="147" t="str">
        <f t="shared" si="2"/>
        <v/>
      </c>
      <c r="M17" s="330"/>
      <c r="N17" s="331"/>
      <c r="O17" s="201" t="str">
        <f t="shared" si="3"/>
        <v/>
      </c>
      <c r="P17" s="202" t="str">
        <f t="shared" si="4"/>
        <v/>
      </c>
      <c r="Q17" s="332"/>
      <c r="R17" s="332"/>
      <c r="S17" s="332" t="str">
        <f t="shared" si="12"/>
        <v/>
      </c>
      <c r="T17" s="204" t="str">
        <f t="shared" si="6"/>
        <v/>
      </c>
      <c r="U17" s="343" t="str">
        <f t="shared" si="7"/>
        <v/>
      </c>
      <c r="V17" s="350"/>
      <c r="W17" s="349"/>
      <c r="X17" s="345"/>
      <c r="Y17" s="330"/>
      <c r="Z17" s="330"/>
      <c r="AA17" s="330"/>
      <c r="AB17" s="330"/>
      <c r="AC17" s="330"/>
      <c r="AD17" s="349"/>
      <c r="AE17" s="356"/>
      <c r="AF17" s="532" t="str">
        <f t="shared" si="8"/>
        <v/>
      </c>
      <c r="AG17" s="530" t="str">
        <f t="shared" si="13"/>
        <v/>
      </c>
      <c r="AH17" s="528" t="str">
        <f t="shared" si="9"/>
        <v/>
      </c>
      <c r="AI17" s="204" t="str">
        <f>IF($C17="","",VLOOKUP($AH17,'3-1.標準報酬月額・保険料表'!$N$8:$O$57,2,TRUE))</f>
        <v/>
      </c>
      <c r="AJ17" s="148"/>
      <c r="AK17" s="148"/>
      <c r="AL17" s="204">
        <f t="shared" si="10"/>
        <v>0</v>
      </c>
    </row>
    <row r="18" spans="1:38" s="145" customFormat="1" ht="20.100000000000001" customHeight="1" x14ac:dyDescent="0.15">
      <c r="A18" s="146" t="str">
        <f t="shared" si="5"/>
        <v/>
      </c>
      <c r="B18" s="325"/>
      <c r="C18" s="326"/>
      <c r="D18" s="327"/>
      <c r="E18" s="327"/>
      <c r="F18" s="328"/>
      <c r="G18" s="329"/>
      <c r="H18" s="329"/>
      <c r="I18" s="147" t="str">
        <f t="shared" si="11"/>
        <v/>
      </c>
      <c r="J18" s="147" t="str">
        <f t="shared" si="0"/>
        <v/>
      </c>
      <c r="K18" s="147" t="str">
        <f t="shared" si="1"/>
        <v/>
      </c>
      <c r="L18" s="147" t="str">
        <f t="shared" si="2"/>
        <v/>
      </c>
      <c r="M18" s="330"/>
      <c r="N18" s="331"/>
      <c r="O18" s="201" t="str">
        <f t="shared" si="3"/>
        <v/>
      </c>
      <c r="P18" s="202" t="str">
        <f t="shared" si="4"/>
        <v/>
      </c>
      <c r="Q18" s="332"/>
      <c r="R18" s="332"/>
      <c r="S18" s="332" t="str">
        <f t="shared" si="12"/>
        <v/>
      </c>
      <c r="T18" s="204" t="str">
        <f t="shared" si="6"/>
        <v/>
      </c>
      <c r="U18" s="343" t="str">
        <f t="shared" si="7"/>
        <v/>
      </c>
      <c r="V18" s="350"/>
      <c r="W18" s="349"/>
      <c r="X18" s="345"/>
      <c r="Y18" s="330"/>
      <c r="Z18" s="330"/>
      <c r="AA18" s="330"/>
      <c r="AB18" s="330"/>
      <c r="AC18" s="330"/>
      <c r="AD18" s="349"/>
      <c r="AE18" s="356"/>
      <c r="AF18" s="532" t="str">
        <f t="shared" si="8"/>
        <v/>
      </c>
      <c r="AG18" s="530" t="str">
        <f t="shared" si="13"/>
        <v/>
      </c>
      <c r="AH18" s="528" t="str">
        <f t="shared" si="9"/>
        <v/>
      </c>
      <c r="AI18" s="204" t="str">
        <f>IF($C18="","",VLOOKUP($AH18,'3-1.標準報酬月額・保険料表'!$N$8:$O$57,2,TRUE))</f>
        <v/>
      </c>
      <c r="AJ18" s="148"/>
      <c r="AK18" s="148"/>
      <c r="AL18" s="204">
        <f t="shared" si="10"/>
        <v>0</v>
      </c>
    </row>
    <row r="19" spans="1:38" s="145" customFormat="1" ht="20.100000000000001" customHeight="1" x14ac:dyDescent="0.15">
      <c r="A19" s="146" t="str">
        <f t="shared" si="5"/>
        <v/>
      </c>
      <c r="B19" s="325"/>
      <c r="C19" s="326"/>
      <c r="D19" s="327"/>
      <c r="E19" s="327"/>
      <c r="F19" s="328"/>
      <c r="G19" s="329"/>
      <c r="H19" s="329"/>
      <c r="I19" s="147" t="str">
        <f t="shared" si="11"/>
        <v/>
      </c>
      <c r="J19" s="147" t="str">
        <f t="shared" si="0"/>
        <v/>
      </c>
      <c r="K19" s="147" t="str">
        <f t="shared" si="1"/>
        <v/>
      </c>
      <c r="L19" s="147" t="str">
        <f t="shared" si="2"/>
        <v/>
      </c>
      <c r="M19" s="330"/>
      <c r="N19" s="331"/>
      <c r="O19" s="201" t="str">
        <f t="shared" si="3"/>
        <v/>
      </c>
      <c r="P19" s="202" t="str">
        <f t="shared" si="4"/>
        <v/>
      </c>
      <c r="Q19" s="332"/>
      <c r="R19" s="332"/>
      <c r="S19" s="332" t="str">
        <f t="shared" si="12"/>
        <v/>
      </c>
      <c r="T19" s="204" t="str">
        <f t="shared" si="6"/>
        <v/>
      </c>
      <c r="U19" s="343" t="str">
        <f t="shared" si="7"/>
        <v/>
      </c>
      <c r="V19" s="350"/>
      <c r="W19" s="349"/>
      <c r="X19" s="345"/>
      <c r="Y19" s="330"/>
      <c r="Z19" s="330"/>
      <c r="AA19" s="330"/>
      <c r="AB19" s="330"/>
      <c r="AC19" s="330"/>
      <c r="AD19" s="349"/>
      <c r="AE19" s="356"/>
      <c r="AF19" s="532" t="str">
        <f t="shared" si="8"/>
        <v/>
      </c>
      <c r="AG19" s="530" t="str">
        <f t="shared" si="13"/>
        <v/>
      </c>
      <c r="AH19" s="528" t="str">
        <f t="shared" si="9"/>
        <v/>
      </c>
      <c r="AI19" s="204" t="str">
        <f>IF($C19="","",VLOOKUP($AH19,'3-1.標準報酬月額・保険料表'!$N$8:$O$57,2,TRUE))</f>
        <v/>
      </c>
      <c r="AJ19" s="148"/>
      <c r="AK19" s="148"/>
      <c r="AL19" s="204">
        <f t="shared" si="10"/>
        <v>0</v>
      </c>
    </row>
    <row r="20" spans="1:38" s="145" customFormat="1" ht="20.100000000000001" customHeight="1" x14ac:dyDescent="0.15">
      <c r="A20" s="146" t="str">
        <f t="shared" si="5"/>
        <v/>
      </c>
      <c r="B20" s="325"/>
      <c r="C20" s="326"/>
      <c r="D20" s="327"/>
      <c r="E20" s="327"/>
      <c r="F20" s="328"/>
      <c r="G20" s="329"/>
      <c r="H20" s="329"/>
      <c r="I20" s="147" t="str">
        <f t="shared" si="11"/>
        <v/>
      </c>
      <c r="J20" s="147" t="str">
        <f t="shared" si="0"/>
        <v/>
      </c>
      <c r="K20" s="147" t="str">
        <f t="shared" si="1"/>
        <v/>
      </c>
      <c r="L20" s="147" t="str">
        <f t="shared" si="2"/>
        <v/>
      </c>
      <c r="M20" s="330"/>
      <c r="N20" s="331"/>
      <c r="O20" s="201" t="str">
        <f t="shared" si="3"/>
        <v/>
      </c>
      <c r="P20" s="202" t="str">
        <f t="shared" si="4"/>
        <v/>
      </c>
      <c r="Q20" s="332"/>
      <c r="R20" s="332"/>
      <c r="S20" s="332" t="str">
        <f t="shared" si="12"/>
        <v/>
      </c>
      <c r="T20" s="204" t="str">
        <f t="shared" si="6"/>
        <v/>
      </c>
      <c r="U20" s="343" t="str">
        <f t="shared" si="7"/>
        <v/>
      </c>
      <c r="V20" s="350"/>
      <c r="W20" s="349"/>
      <c r="X20" s="345"/>
      <c r="Y20" s="330"/>
      <c r="Z20" s="330"/>
      <c r="AA20" s="330"/>
      <c r="AB20" s="330"/>
      <c r="AC20" s="330"/>
      <c r="AD20" s="349"/>
      <c r="AE20" s="356"/>
      <c r="AF20" s="532" t="str">
        <f t="shared" si="8"/>
        <v/>
      </c>
      <c r="AG20" s="530" t="str">
        <f t="shared" si="13"/>
        <v/>
      </c>
      <c r="AH20" s="528" t="str">
        <f t="shared" si="9"/>
        <v/>
      </c>
      <c r="AI20" s="204" t="str">
        <f>IF($C20="","",VLOOKUP($AH20,'3-1.標準報酬月額・保険料表'!$N$8:$O$57,2,TRUE))</f>
        <v/>
      </c>
      <c r="AJ20" s="148"/>
      <c r="AK20" s="148"/>
      <c r="AL20" s="204">
        <f t="shared" si="10"/>
        <v>0</v>
      </c>
    </row>
    <row r="21" spans="1:38" s="145" customFormat="1" ht="20.100000000000001" customHeight="1" x14ac:dyDescent="0.15">
      <c r="A21" s="146" t="str">
        <f t="shared" si="5"/>
        <v/>
      </c>
      <c r="B21" s="325"/>
      <c r="C21" s="326"/>
      <c r="D21" s="327"/>
      <c r="E21" s="327"/>
      <c r="F21" s="328"/>
      <c r="G21" s="329"/>
      <c r="H21" s="329"/>
      <c r="I21" s="147" t="str">
        <f t="shared" si="11"/>
        <v/>
      </c>
      <c r="J21" s="147" t="str">
        <f t="shared" si="0"/>
        <v/>
      </c>
      <c r="K21" s="147" t="str">
        <f t="shared" si="1"/>
        <v/>
      </c>
      <c r="L21" s="147" t="str">
        <f t="shared" si="2"/>
        <v/>
      </c>
      <c r="M21" s="330"/>
      <c r="N21" s="331"/>
      <c r="O21" s="201" t="str">
        <f t="shared" si="3"/>
        <v/>
      </c>
      <c r="P21" s="202" t="str">
        <f t="shared" si="4"/>
        <v/>
      </c>
      <c r="Q21" s="332"/>
      <c r="R21" s="332"/>
      <c r="S21" s="332" t="str">
        <f t="shared" si="12"/>
        <v/>
      </c>
      <c r="T21" s="204" t="str">
        <f t="shared" si="6"/>
        <v/>
      </c>
      <c r="U21" s="343" t="str">
        <f t="shared" si="7"/>
        <v/>
      </c>
      <c r="V21" s="350"/>
      <c r="W21" s="349"/>
      <c r="X21" s="345"/>
      <c r="Y21" s="330"/>
      <c r="Z21" s="330"/>
      <c r="AA21" s="330"/>
      <c r="AB21" s="330"/>
      <c r="AC21" s="330"/>
      <c r="AD21" s="349"/>
      <c r="AE21" s="356"/>
      <c r="AF21" s="532" t="str">
        <f t="shared" si="8"/>
        <v/>
      </c>
      <c r="AG21" s="530" t="str">
        <f t="shared" si="13"/>
        <v/>
      </c>
      <c r="AH21" s="528" t="str">
        <f t="shared" si="9"/>
        <v/>
      </c>
      <c r="AI21" s="204" t="str">
        <f>IF($C21="","",VLOOKUP($AH21,'3-1.標準報酬月額・保険料表'!$N$8:$O$57,2,TRUE))</f>
        <v/>
      </c>
      <c r="AJ21" s="148"/>
      <c r="AK21" s="148"/>
      <c r="AL21" s="204">
        <f t="shared" si="10"/>
        <v>0</v>
      </c>
    </row>
    <row r="22" spans="1:38" s="145" customFormat="1" ht="20.100000000000001" customHeight="1" x14ac:dyDescent="0.15">
      <c r="A22" s="146" t="str">
        <f t="shared" si="5"/>
        <v/>
      </c>
      <c r="B22" s="325"/>
      <c r="C22" s="326"/>
      <c r="D22" s="327"/>
      <c r="E22" s="327"/>
      <c r="F22" s="328"/>
      <c r="G22" s="329"/>
      <c r="H22" s="329"/>
      <c r="I22" s="147" t="str">
        <f t="shared" si="11"/>
        <v/>
      </c>
      <c r="J22" s="147" t="str">
        <f t="shared" si="0"/>
        <v/>
      </c>
      <c r="K22" s="147" t="str">
        <f t="shared" si="1"/>
        <v/>
      </c>
      <c r="L22" s="147" t="str">
        <f t="shared" si="2"/>
        <v/>
      </c>
      <c r="M22" s="330"/>
      <c r="N22" s="331"/>
      <c r="O22" s="201" t="str">
        <f t="shared" si="3"/>
        <v/>
      </c>
      <c r="P22" s="202" t="str">
        <f t="shared" si="4"/>
        <v/>
      </c>
      <c r="Q22" s="332"/>
      <c r="R22" s="332"/>
      <c r="S22" s="332" t="str">
        <f t="shared" si="12"/>
        <v/>
      </c>
      <c r="T22" s="204" t="str">
        <f t="shared" si="6"/>
        <v/>
      </c>
      <c r="U22" s="343" t="str">
        <f t="shared" si="7"/>
        <v/>
      </c>
      <c r="V22" s="350"/>
      <c r="W22" s="349"/>
      <c r="X22" s="345"/>
      <c r="Y22" s="330"/>
      <c r="Z22" s="330"/>
      <c r="AA22" s="330"/>
      <c r="AB22" s="330"/>
      <c r="AC22" s="330"/>
      <c r="AD22" s="349"/>
      <c r="AE22" s="356"/>
      <c r="AF22" s="532" t="str">
        <f t="shared" si="8"/>
        <v/>
      </c>
      <c r="AG22" s="530" t="str">
        <f t="shared" si="13"/>
        <v/>
      </c>
      <c r="AH22" s="528" t="str">
        <f t="shared" si="9"/>
        <v/>
      </c>
      <c r="AI22" s="204" t="str">
        <f>IF($C22="","",VLOOKUP($AH22,'3-1.標準報酬月額・保険料表'!$N$8:$O$57,2,TRUE))</f>
        <v/>
      </c>
      <c r="AJ22" s="148"/>
      <c r="AK22" s="148"/>
      <c r="AL22" s="204">
        <f t="shared" si="10"/>
        <v>0</v>
      </c>
    </row>
    <row r="23" spans="1:38" s="145" customFormat="1" ht="20.100000000000001" customHeight="1" x14ac:dyDescent="0.15">
      <c r="A23" s="146" t="str">
        <f t="shared" si="5"/>
        <v/>
      </c>
      <c r="B23" s="325"/>
      <c r="C23" s="326"/>
      <c r="D23" s="327"/>
      <c r="E23" s="327"/>
      <c r="F23" s="328"/>
      <c r="G23" s="329"/>
      <c r="H23" s="329"/>
      <c r="I23" s="147" t="str">
        <f t="shared" si="11"/>
        <v/>
      </c>
      <c r="J23" s="147" t="str">
        <f t="shared" si="0"/>
        <v/>
      </c>
      <c r="K23" s="147" t="str">
        <f t="shared" si="1"/>
        <v/>
      </c>
      <c r="L23" s="147" t="str">
        <f t="shared" si="2"/>
        <v/>
      </c>
      <c r="M23" s="330"/>
      <c r="N23" s="331"/>
      <c r="O23" s="201" t="str">
        <f t="shared" si="3"/>
        <v/>
      </c>
      <c r="P23" s="202" t="str">
        <f t="shared" si="4"/>
        <v/>
      </c>
      <c r="Q23" s="332"/>
      <c r="R23" s="332"/>
      <c r="S23" s="332" t="str">
        <f t="shared" si="12"/>
        <v/>
      </c>
      <c r="T23" s="204" t="str">
        <f t="shared" si="6"/>
        <v/>
      </c>
      <c r="U23" s="343" t="str">
        <f t="shared" si="7"/>
        <v/>
      </c>
      <c r="V23" s="350"/>
      <c r="W23" s="349"/>
      <c r="X23" s="345"/>
      <c r="Y23" s="330"/>
      <c r="Z23" s="330"/>
      <c r="AA23" s="330"/>
      <c r="AB23" s="330"/>
      <c r="AC23" s="330"/>
      <c r="AD23" s="349"/>
      <c r="AE23" s="356"/>
      <c r="AF23" s="532" t="str">
        <f t="shared" si="8"/>
        <v/>
      </c>
      <c r="AG23" s="530" t="str">
        <f t="shared" si="13"/>
        <v/>
      </c>
      <c r="AH23" s="528" t="str">
        <f t="shared" si="9"/>
        <v/>
      </c>
      <c r="AI23" s="204" t="str">
        <f>IF($C23="","",VLOOKUP($AH23,'3-1.標準報酬月額・保険料表'!$N$8:$O$57,2,TRUE))</f>
        <v/>
      </c>
      <c r="AJ23" s="148"/>
      <c r="AK23" s="148"/>
      <c r="AL23" s="204">
        <f t="shared" si="10"/>
        <v>0</v>
      </c>
    </row>
    <row r="24" spans="1:38" s="145" customFormat="1" ht="20.100000000000001" customHeight="1" x14ac:dyDescent="0.15">
      <c r="A24" s="146" t="str">
        <f t="shared" si="5"/>
        <v/>
      </c>
      <c r="B24" s="325"/>
      <c r="C24" s="326"/>
      <c r="D24" s="327"/>
      <c r="E24" s="327"/>
      <c r="F24" s="328"/>
      <c r="G24" s="329"/>
      <c r="H24" s="329"/>
      <c r="I24" s="147" t="str">
        <f t="shared" si="11"/>
        <v/>
      </c>
      <c r="J24" s="147" t="str">
        <f t="shared" si="0"/>
        <v/>
      </c>
      <c r="K24" s="147" t="str">
        <f t="shared" si="1"/>
        <v/>
      </c>
      <c r="L24" s="147" t="str">
        <f t="shared" si="2"/>
        <v/>
      </c>
      <c r="M24" s="330"/>
      <c r="N24" s="331"/>
      <c r="O24" s="201" t="str">
        <f t="shared" si="3"/>
        <v/>
      </c>
      <c r="P24" s="202" t="str">
        <f t="shared" si="4"/>
        <v/>
      </c>
      <c r="Q24" s="332"/>
      <c r="R24" s="332"/>
      <c r="S24" s="332" t="str">
        <f t="shared" si="12"/>
        <v/>
      </c>
      <c r="T24" s="204" t="str">
        <f t="shared" si="6"/>
        <v/>
      </c>
      <c r="U24" s="343" t="str">
        <f t="shared" si="7"/>
        <v/>
      </c>
      <c r="V24" s="350"/>
      <c r="W24" s="349"/>
      <c r="X24" s="345"/>
      <c r="Y24" s="330"/>
      <c r="Z24" s="330"/>
      <c r="AA24" s="330"/>
      <c r="AB24" s="330"/>
      <c r="AC24" s="330"/>
      <c r="AD24" s="349"/>
      <c r="AE24" s="356"/>
      <c r="AF24" s="532" t="str">
        <f t="shared" si="8"/>
        <v/>
      </c>
      <c r="AG24" s="530" t="str">
        <f t="shared" si="13"/>
        <v/>
      </c>
      <c r="AH24" s="528" t="str">
        <f t="shared" si="9"/>
        <v/>
      </c>
      <c r="AI24" s="204" t="str">
        <f>IF($C24="","",VLOOKUP($AH24,'3-1.標準報酬月額・保険料表'!$N$8:$O$57,2,TRUE))</f>
        <v/>
      </c>
      <c r="AJ24" s="148"/>
      <c r="AK24" s="148"/>
      <c r="AL24" s="204">
        <f t="shared" si="10"/>
        <v>0</v>
      </c>
    </row>
    <row r="25" spans="1:38" s="145" customFormat="1" ht="20.100000000000001" customHeight="1" x14ac:dyDescent="0.15">
      <c r="A25" s="146" t="str">
        <f t="shared" si="5"/>
        <v/>
      </c>
      <c r="B25" s="325"/>
      <c r="C25" s="326"/>
      <c r="D25" s="327"/>
      <c r="E25" s="327"/>
      <c r="F25" s="328"/>
      <c r="G25" s="329"/>
      <c r="H25" s="329"/>
      <c r="I25" s="147" t="str">
        <f t="shared" si="11"/>
        <v/>
      </c>
      <c r="J25" s="147" t="str">
        <f t="shared" si="0"/>
        <v/>
      </c>
      <c r="K25" s="147" t="str">
        <f t="shared" si="1"/>
        <v/>
      </c>
      <c r="L25" s="147" t="str">
        <f t="shared" si="2"/>
        <v/>
      </c>
      <c r="M25" s="330"/>
      <c r="N25" s="331"/>
      <c r="O25" s="201" t="str">
        <f t="shared" si="3"/>
        <v/>
      </c>
      <c r="P25" s="202" t="str">
        <f t="shared" si="4"/>
        <v/>
      </c>
      <c r="Q25" s="332"/>
      <c r="R25" s="332"/>
      <c r="S25" s="332" t="str">
        <f t="shared" si="12"/>
        <v/>
      </c>
      <c r="T25" s="204" t="str">
        <f t="shared" si="6"/>
        <v/>
      </c>
      <c r="U25" s="343" t="str">
        <f t="shared" si="7"/>
        <v/>
      </c>
      <c r="V25" s="350"/>
      <c r="W25" s="349"/>
      <c r="X25" s="345"/>
      <c r="Y25" s="330"/>
      <c r="Z25" s="330"/>
      <c r="AA25" s="330"/>
      <c r="AB25" s="330"/>
      <c r="AC25" s="330"/>
      <c r="AD25" s="349"/>
      <c r="AE25" s="356"/>
      <c r="AF25" s="532" t="str">
        <f t="shared" si="8"/>
        <v/>
      </c>
      <c r="AG25" s="530" t="str">
        <f t="shared" si="13"/>
        <v/>
      </c>
      <c r="AH25" s="528" t="str">
        <f t="shared" si="9"/>
        <v/>
      </c>
      <c r="AI25" s="204" t="str">
        <f>IF($C25="","",VLOOKUP($AH25,'3-1.標準報酬月額・保険料表'!$N$8:$O$57,2,TRUE))</f>
        <v/>
      </c>
      <c r="AJ25" s="148"/>
      <c r="AK25" s="148"/>
      <c r="AL25" s="204">
        <f t="shared" si="10"/>
        <v>0</v>
      </c>
    </row>
    <row r="26" spans="1:38" s="145" customFormat="1" ht="20.100000000000001" customHeight="1" x14ac:dyDescent="0.15">
      <c r="A26" s="146" t="str">
        <f t="shared" si="5"/>
        <v/>
      </c>
      <c r="B26" s="325"/>
      <c r="C26" s="326"/>
      <c r="D26" s="327"/>
      <c r="E26" s="327"/>
      <c r="F26" s="328"/>
      <c r="G26" s="329"/>
      <c r="H26" s="329"/>
      <c r="I26" s="147" t="str">
        <f t="shared" si="11"/>
        <v/>
      </c>
      <c r="J26" s="147" t="str">
        <f t="shared" si="0"/>
        <v/>
      </c>
      <c r="K26" s="147" t="str">
        <f t="shared" si="1"/>
        <v/>
      </c>
      <c r="L26" s="147" t="str">
        <f t="shared" si="2"/>
        <v/>
      </c>
      <c r="M26" s="330"/>
      <c r="N26" s="331"/>
      <c r="O26" s="201" t="str">
        <f t="shared" si="3"/>
        <v/>
      </c>
      <c r="P26" s="202" t="str">
        <f t="shared" si="4"/>
        <v/>
      </c>
      <c r="Q26" s="332"/>
      <c r="R26" s="332"/>
      <c r="S26" s="332" t="str">
        <f t="shared" si="12"/>
        <v/>
      </c>
      <c r="T26" s="204" t="str">
        <f t="shared" si="6"/>
        <v/>
      </c>
      <c r="U26" s="343" t="str">
        <f t="shared" si="7"/>
        <v/>
      </c>
      <c r="V26" s="350"/>
      <c r="W26" s="349"/>
      <c r="X26" s="345"/>
      <c r="Y26" s="330"/>
      <c r="Z26" s="330"/>
      <c r="AA26" s="330"/>
      <c r="AB26" s="330"/>
      <c r="AC26" s="330"/>
      <c r="AD26" s="349"/>
      <c r="AE26" s="356"/>
      <c r="AF26" s="532" t="str">
        <f t="shared" si="8"/>
        <v/>
      </c>
      <c r="AG26" s="530" t="str">
        <f t="shared" si="13"/>
        <v/>
      </c>
      <c r="AH26" s="528" t="str">
        <f t="shared" si="9"/>
        <v/>
      </c>
      <c r="AI26" s="204" t="str">
        <f>IF($C26="","",VLOOKUP($AH26,'3-1.標準報酬月額・保険料表'!$N$8:$O$57,2,TRUE))</f>
        <v/>
      </c>
      <c r="AJ26" s="148"/>
      <c r="AK26" s="148"/>
      <c r="AL26" s="204">
        <f t="shared" si="10"/>
        <v>0</v>
      </c>
    </row>
    <row r="27" spans="1:38" s="145" customFormat="1" ht="20.100000000000001" customHeight="1" x14ac:dyDescent="0.15">
      <c r="A27" s="146" t="str">
        <f t="shared" si="5"/>
        <v/>
      </c>
      <c r="B27" s="325"/>
      <c r="C27" s="326"/>
      <c r="D27" s="327"/>
      <c r="E27" s="327"/>
      <c r="F27" s="328"/>
      <c r="G27" s="329"/>
      <c r="H27" s="329"/>
      <c r="I27" s="147" t="str">
        <f t="shared" si="11"/>
        <v/>
      </c>
      <c r="J27" s="147" t="str">
        <f t="shared" si="0"/>
        <v/>
      </c>
      <c r="K27" s="147" t="str">
        <f t="shared" si="1"/>
        <v/>
      </c>
      <c r="L27" s="147" t="str">
        <f t="shared" si="2"/>
        <v/>
      </c>
      <c r="M27" s="330"/>
      <c r="N27" s="331"/>
      <c r="O27" s="201" t="str">
        <f t="shared" si="3"/>
        <v/>
      </c>
      <c r="P27" s="202" t="str">
        <f t="shared" si="4"/>
        <v/>
      </c>
      <c r="Q27" s="332"/>
      <c r="R27" s="332"/>
      <c r="S27" s="332" t="str">
        <f t="shared" si="12"/>
        <v/>
      </c>
      <c r="T27" s="204" t="str">
        <f t="shared" si="6"/>
        <v/>
      </c>
      <c r="U27" s="343" t="str">
        <f t="shared" si="7"/>
        <v/>
      </c>
      <c r="V27" s="350"/>
      <c r="W27" s="349"/>
      <c r="X27" s="345"/>
      <c r="Y27" s="330"/>
      <c r="Z27" s="330"/>
      <c r="AA27" s="330"/>
      <c r="AB27" s="330"/>
      <c r="AC27" s="330"/>
      <c r="AD27" s="349"/>
      <c r="AE27" s="356"/>
      <c r="AF27" s="532" t="str">
        <f t="shared" si="8"/>
        <v/>
      </c>
      <c r="AG27" s="530" t="str">
        <f t="shared" si="13"/>
        <v/>
      </c>
      <c r="AH27" s="528" t="str">
        <f t="shared" si="9"/>
        <v/>
      </c>
      <c r="AI27" s="204" t="str">
        <f>IF($C27="","",VLOOKUP($AH27,'3-1.標準報酬月額・保険料表'!$N$8:$O$57,2,TRUE))</f>
        <v/>
      </c>
      <c r="AJ27" s="148"/>
      <c r="AK27" s="148"/>
      <c r="AL27" s="204">
        <f t="shared" si="10"/>
        <v>0</v>
      </c>
    </row>
    <row r="28" spans="1:38" s="145" customFormat="1" ht="20.100000000000001" customHeight="1" x14ac:dyDescent="0.15">
      <c r="A28" s="146" t="str">
        <f t="shared" si="5"/>
        <v/>
      </c>
      <c r="B28" s="325"/>
      <c r="C28" s="326"/>
      <c r="D28" s="327"/>
      <c r="E28" s="327"/>
      <c r="F28" s="328"/>
      <c r="G28" s="329"/>
      <c r="H28" s="329"/>
      <c r="I28" s="147" t="str">
        <f t="shared" si="11"/>
        <v/>
      </c>
      <c r="J28" s="147" t="str">
        <f t="shared" si="0"/>
        <v/>
      </c>
      <c r="K28" s="147" t="str">
        <f t="shared" si="1"/>
        <v/>
      </c>
      <c r="L28" s="147" t="str">
        <f t="shared" si="2"/>
        <v/>
      </c>
      <c r="M28" s="330"/>
      <c r="N28" s="331"/>
      <c r="O28" s="201" t="str">
        <f t="shared" si="3"/>
        <v/>
      </c>
      <c r="P28" s="202" t="str">
        <f t="shared" si="4"/>
        <v/>
      </c>
      <c r="Q28" s="332"/>
      <c r="R28" s="332"/>
      <c r="S28" s="332" t="str">
        <f t="shared" si="12"/>
        <v/>
      </c>
      <c r="T28" s="204" t="str">
        <f t="shared" si="6"/>
        <v/>
      </c>
      <c r="U28" s="343" t="str">
        <f t="shared" si="7"/>
        <v/>
      </c>
      <c r="V28" s="350"/>
      <c r="W28" s="349"/>
      <c r="X28" s="345"/>
      <c r="Y28" s="330"/>
      <c r="Z28" s="330"/>
      <c r="AA28" s="330"/>
      <c r="AB28" s="330"/>
      <c r="AC28" s="330"/>
      <c r="AD28" s="349"/>
      <c r="AE28" s="356"/>
      <c r="AF28" s="532" t="str">
        <f t="shared" si="8"/>
        <v/>
      </c>
      <c r="AG28" s="530" t="str">
        <f t="shared" si="13"/>
        <v/>
      </c>
      <c r="AH28" s="528" t="str">
        <f t="shared" si="9"/>
        <v/>
      </c>
      <c r="AI28" s="204" t="str">
        <f>IF($C28="","",VLOOKUP($AH28,'3-1.標準報酬月額・保険料表'!$N$8:$O$57,2,TRUE))</f>
        <v/>
      </c>
      <c r="AJ28" s="148"/>
      <c r="AK28" s="148"/>
      <c r="AL28" s="204">
        <f t="shared" si="10"/>
        <v>0</v>
      </c>
    </row>
    <row r="29" spans="1:38" s="145" customFormat="1" ht="20.100000000000001" customHeight="1" x14ac:dyDescent="0.15">
      <c r="A29" s="146" t="str">
        <f t="shared" si="5"/>
        <v/>
      </c>
      <c r="B29" s="325"/>
      <c r="C29" s="326"/>
      <c r="D29" s="327"/>
      <c r="E29" s="327"/>
      <c r="F29" s="328"/>
      <c r="G29" s="329"/>
      <c r="H29" s="329"/>
      <c r="I29" s="147" t="str">
        <f t="shared" si="11"/>
        <v/>
      </c>
      <c r="J29" s="147" t="str">
        <f t="shared" si="0"/>
        <v/>
      </c>
      <c r="K29" s="147" t="str">
        <f t="shared" si="1"/>
        <v/>
      </c>
      <c r="L29" s="147" t="str">
        <f t="shared" si="2"/>
        <v/>
      </c>
      <c r="M29" s="330"/>
      <c r="N29" s="331"/>
      <c r="O29" s="201" t="str">
        <f t="shared" si="3"/>
        <v/>
      </c>
      <c r="P29" s="202" t="str">
        <f t="shared" si="4"/>
        <v/>
      </c>
      <c r="Q29" s="332"/>
      <c r="R29" s="332"/>
      <c r="S29" s="332" t="str">
        <f t="shared" si="12"/>
        <v/>
      </c>
      <c r="T29" s="204" t="str">
        <f t="shared" si="6"/>
        <v/>
      </c>
      <c r="U29" s="343" t="str">
        <f t="shared" si="7"/>
        <v/>
      </c>
      <c r="V29" s="350"/>
      <c r="W29" s="349"/>
      <c r="X29" s="345"/>
      <c r="Y29" s="330"/>
      <c r="Z29" s="330"/>
      <c r="AA29" s="330"/>
      <c r="AB29" s="330"/>
      <c r="AC29" s="330"/>
      <c r="AD29" s="349"/>
      <c r="AE29" s="356"/>
      <c r="AF29" s="532" t="str">
        <f t="shared" si="8"/>
        <v/>
      </c>
      <c r="AG29" s="530" t="str">
        <f t="shared" si="13"/>
        <v/>
      </c>
      <c r="AH29" s="528" t="str">
        <f t="shared" si="9"/>
        <v/>
      </c>
      <c r="AI29" s="204" t="str">
        <f>IF($C29="","",VLOOKUP($AH29,'3-1.標準報酬月額・保険料表'!$N$8:$O$57,2,TRUE))</f>
        <v/>
      </c>
      <c r="AJ29" s="148"/>
      <c r="AK29" s="148"/>
      <c r="AL29" s="204">
        <f t="shared" si="10"/>
        <v>0</v>
      </c>
    </row>
    <row r="30" spans="1:38" s="145" customFormat="1" ht="20.100000000000001" customHeight="1" x14ac:dyDescent="0.15">
      <c r="A30" s="146" t="str">
        <f t="shared" si="5"/>
        <v/>
      </c>
      <c r="B30" s="325"/>
      <c r="C30" s="326"/>
      <c r="D30" s="327"/>
      <c r="E30" s="327"/>
      <c r="F30" s="328"/>
      <c r="G30" s="329"/>
      <c r="H30" s="329"/>
      <c r="I30" s="147" t="str">
        <f t="shared" si="11"/>
        <v/>
      </c>
      <c r="J30" s="147" t="str">
        <f t="shared" si="0"/>
        <v/>
      </c>
      <c r="K30" s="147" t="str">
        <f t="shared" si="1"/>
        <v/>
      </c>
      <c r="L30" s="147" t="str">
        <f t="shared" si="2"/>
        <v/>
      </c>
      <c r="M30" s="330"/>
      <c r="N30" s="331"/>
      <c r="O30" s="201" t="str">
        <f t="shared" si="3"/>
        <v/>
      </c>
      <c r="P30" s="202" t="str">
        <f t="shared" si="4"/>
        <v/>
      </c>
      <c r="Q30" s="332"/>
      <c r="R30" s="332"/>
      <c r="S30" s="332" t="str">
        <f t="shared" si="12"/>
        <v/>
      </c>
      <c r="T30" s="204" t="str">
        <f t="shared" si="6"/>
        <v/>
      </c>
      <c r="U30" s="343" t="str">
        <f t="shared" si="7"/>
        <v/>
      </c>
      <c r="V30" s="350"/>
      <c r="W30" s="349"/>
      <c r="X30" s="345"/>
      <c r="Y30" s="330"/>
      <c r="Z30" s="330"/>
      <c r="AA30" s="330"/>
      <c r="AB30" s="330"/>
      <c r="AC30" s="330"/>
      <c r="AD30" s="349"/>
      <c r="AE30" s="356"/>
      <c r="AF30" s="532" t="str">
        <f t="shared" si="8"/>
        <v/>
      </c>
      <c r="AG30" s="530" t="str">
        <f t="shared" si="13"/>
        <v/>
      </c>
      <c r="AH30" s="528" t="str">
        <f t="shared" si="9"/>
        <v/>
      </c>
      <c r="AI30" s="204" t="str">
        <f>IF($C30="","",VLOOKUP($AH30,'3-1.標準報酬月額・保険料表'!$N$8:$O$57,2,TRUE))</f>
        <v/>
      </c>
      <c r="AJ30" s="148"/>
      <c r="AK30" s="148"/>
      <c r="AL30" s="204">
        <f t="shared" si="10"/>
        <v>0</v>
      </c>
    </row>
    <row r="31" spans="1:38" s="145" customFormat="1" ht="20.100000000000001" customHeight="1" x14ac:dyDescent="0.15">
      <c r="A31" s="146" t="str">
        <f t="shared" si="5"/>
        <v/>
      </c>
      <c r="B31" s="325"/>
      <c r="C31" s="326"/>
      <c r="D31" s="327"/>
      <c r="E31" s="327"/>
      <c r="F31" s="328"/>
      <c r="G31" s="329"/>
      <c r="H31" s="329"/>
      <c r="I31" s="147" t="str">
        <f t="shared" si="11"/>
        <v/>
      </c>
      <c r="J31" s="147" t="str">
        <f t="shared" si="0"/>
        <v/>
      </c>
      <c r="K31" s="147" t="str">
        <f t="shared" si="1"/>
        <v/>
      </c>
      <c r="L31" s="147" t="str">
        <f t="shared" si="2"/>
        <v/>
      </c>
      <c r="M31" s="330"/>
      <c r="N31" s="331"/>
      <c r="O31" s="201" t="str">
        <f t="shared" si="3"/>
        <v/>
      </c>
      <c r="P31" s="202" t="str">
        <f t="shared" si="4"/>
        <v/>
      </c>
      <c r="Q31" s="332"/>
      <c r="R31" s="332"/>
      <c r="S31" s="332" t="str">
        <f t="shared" si="12"/>
        <v/>
      </c>
      <c r="T31" s="204" t="str">
        <f t="shared" si="6"/>
        <v/>
      </c>
      <c r="U31" s="343" t="str">
        <f t="shared" si="7"/>
        <v/>
      </c>
      <c r="V31" s="350"/>
      <c r="W31" s="349"/>
      <c r="X31" s="345"/>
      <c r="Y31" s="330"/>
      <c r="Z31" s="330"/>
      <c r="AA31" s="330"/>
      <c r="AB31" s="330"/>
      <c r="AC31" s="330"/>
      <c r="AD31" s="349"/>
      <c r="AE31" s="356"/>
      <c r="AF31" s="532" t="str">
        <f t="shared" si="8"/>
        <v/>
      </c>
      <c r="AG31" s="530" t="str">
        <f t="shared" si="13"/>
        <v/>
      </c>
      <c r="AH31" s="528" t="str">
        <f t="shared" si="9"/>
        <v/>
      </c>
      <c r="AI31" s="204" t="str">
        <f>IF($C31="","",VLOOKUP($AH31,'3-1.標準報酬月額・保険料表'!$N$8:$O$57,2,TRUE))</f>
        <v/>
      </c>
      <c r="AJ31" s="148"/>
      <c r="AK31" s="148"/>
      <c r="AL31" s="204">
        <f t="shared" si="10"/>
        <v>0</v>
      </c>
    </row>
    <row r="32" spans="1:38" s="145" customFormat="1" ht="20.100000000000001" customHeight="1" x14ac:dyDescent="0.15">
      <c r="A32" s="146" t="str">
        <f t="shared" si="5"/>
        <v/>
      </c>
      <c r="B32" s="325"/>
      <c r="C32" s="326"/>
      <c r="D32" s="327"/>
      <c r="E32" s="327"/>
      <c r="F32" s="328"/>
      <c r="G32" s="329"/>
      <c r="H32" s="329"/>
      <c r="I32" s="147" t="str">
        <f t="shared" si="11"/>
        <v/>
      </c>
      <c r="J32" s="147" t="str">
        <f t="shared" si="0"/>
        <v/>
      </c>
      <c r="K32" s="147" t="str">
        <f t="shared" si="1"/>
        <v/>
      </c>
      <c r="L32" s="147" t="str">
        <f t="shared" si="2"/>
        <v/>
      </c>
      <c r="M32" s="330"/>
      <c r="N32" s="331"/>
      <c r="O32" s="201" t="str">
        <f t="shared" si="3"/>
        <v/>
      </c>
      <c r="P32" s="202" t="str">
        <f t="shared" si="4"/>
        <v/>
      </c>
      <c r="Q32" s="332"/>
      <c r="R32" s="332"/>
      <c r="S32" s="332" t="str">
        <f t="shared" si="12"/>
        <v/>
      </c>
      <c r="T32" s="204" t="str">
        <f t="shared" si="6"/>
        <v/>
      </c>
      <c r="U32" s="343" t="str">
        <f t="shared" si="7"/>
        <v/>
      </c>
      <c r="V32" s="350"/>
      <c r="W32" s="349"/>
      <c r="X32" s="345"/>
      <c r="Y32" s="330"/>
      <c r="Z32" s="330"/>
      <c r="AA32" s="330"/>
      <c r="AB32" s="330"/>
      <c r="AC32" s="330"/>
      <c r="AD32" s="349"/>
      <c r="AE32" s="356"/>
      <c r="AF32" s="532" t="str">
        <f t="shared" si="8"/>
        <v/>
      </c>
      <c r="AG32" s="530" t="str">
        <f t="shared" si="13"/>
        <v/>
      </c>
      <c r="AH32" s="528" t="str">
        <f t="shared" si="9"/>
        <v/>
      </c>
      <c r="AI32" s="204" t="str">
        <f>IF($C32="","",VLOOKUP($AH32,'3-1.標準報酬月額・保険料表'!$N$8:$O$57,2,TRUE))</f>
        <v/>
      </c>
      <c r="AJ32" s="148"/>
      <c r="AK32" s="148"/>
      <c r="AL32" s="204">
        <f t="shared" si="10"/>
        <v>0</v>
      </c>
    </row>
    <row r="33" spans="1:38" s="145" customFormat="1" ht="20.100000000000001" customHeight="1" x14ac:dyDescent="0.15">
      <c r="A33" s="146" t="str">
        <f t="shared" si="5"/>
        <v/>
      </c>
      <c r="B33" s="325"/>
      <c r="C33" s="326"/>
      <c r="D33" s="327"/>
      <c r="E33" s="327"/>
      <c r="F33" s="328"/>
      <c r="G33" s="329"/>
      <c r="H33" s="329"/>
      <c r="I33" s="147" t="str">
        <f t="shared" si="11"/>
        <v/>
      </c>
      <c r="J33" s="147" t="str">
        <f t="shared" si="0"/>
        <v/>
      </c>
      <c r="K33" s="147" t="str">
        <f t="shared" si="1"/>
        <v/>
      </c>
      <c r="L33" s="147" t="str">
        <f t="shared" si="2"/>
        <v/>
      </c>
      <c r="M33" s="330"/>
      <c r="N33" s="331"/>
      <c r="O33" s="201" t="str">
        <f t="shared" si="3"/>
        <v/>
      </c>
      <c r="P33" s="202" t="str">
        <f t="shared" si="4"/>
        <v/>
      </c>
      <c r="Q33" s="332"/>
      <c r="R33" s="332"/>
      <c r="S33" s="332" t="str">
        <f t="shared" si="12"/>
        <v/>
      </c>
      <c r="T33" s="204" t="str">
        <f t="shared" si="6"/>
        <v/>
      </c>
      <c r="U33" s="343" t="str">
        <f t="shared" si="7"/>
        <v/>
      </c>
      <c r="V33" s="350"/>
      <c r="W33" s="349"/>
      <c r="X33" s="345"/>
      <c r="Y33" s="330"/>
      <c r="Z33" s="330"/>
      <c r="AA33" s="330"/>
      <c r="AB33" s="330"/>
      <c r="AC33" s="330"/>
      <c r="AD33" s="349"/>
      <c r="AE33" s="356"/>
      <c r="AF33" s="532" t="str">
        <f t="shared" si="8"/>
        <v/>
      </c>
      <c r="AG33" s="530" t="str">
        <f t="shared" si="13"/>
        <v/>
      </c>
      <c r="AH33" s="528" t="str">
        <f t="shared" si="9"/>
        <v/>
      </c>
      <c r="AI33" s="204" t="str">
        <f>IF($C33="","",VLOOKUP($AH33,'3-1.標準報酬月額・保険料表'!$N$8:$O$57,2,TRUE))</f>
        <v/>
      </c>
      <c r="AJ33" s="148"/>
      <c r="AK33" s="148"/>
      <c r="AL33" s="204">
        <f t="shared" si="10"/>
        <v>0</v>
      </c>
    </row>
    <row r="34" spans="1:38" s="145" customFormat="1" ht="20.100000000000001" customHeight="1" x14ac:dyDescent="0.15">
      <c r="A34" s="146" t="str">
        <f t="shared" si="5"/>
        <v/>
      </c>
      <c r="B34" s="325"/>
      <c r="C34" s="326"/>
      <c r="D34" s="327"/>
      <c r="E34" s="327"/>
      <c r="F34" s="328"/>
      <c r="G34" s="329"/>
      <c r="H34" s="329"/>
      <c r="I34" s="147" t="str">
        <f t="shared" si="11"/>
        <v/>
      </c>
      <c r="J34" s="147" t="str">
        <f t="shared" si="0"/>
        <v/>
      </c>
      <c r="K34" s="147" t="str">
        <f t="shared" si="1"/>
        <v/>
      </c>
      <c r="L34" s="147" t="str">
        <f t="shared" si="2"/>
        <v/>
      </c>
      <c r="M34" s="330"/>
      <c r="N34" s="331"/>
      <c r="O34" s="201" t="str">
        <f t="shared" si="3"/>
        <v/>
      </c>
      <c r="P34" s="202" t="str">
        <f t="shared" si="4"/>
        <v/>
      </c>
      <c r="Q34" s="332"/>
      <c r="R34" s="332"/>
      <c r="S34" s="332" t="str">
        <f t="shared" si="12"/>
        <v/>
      </c>
      <c r="T34" s="204" t="str">
        <f t="shared" si="6"/>
        <v/>
      </c>
      <c r="U34" s="343" t="str">
        <f t="shared" si="7"/>
        <v/>
      </c>
      <c r="V34" s="350"/>
      <c r="W34" s="349"/>
      <c r="X34" s="345"/>
      <c r="Y34" s="330"/>
      <c r="Z34" s="330"/>
      <c r="AA34" s="330"/>
      <c r="AB34" s="330"/>
      <c r="AC34" s="330"/>
      <c r="AD34" s="349"/>
      <c r="AE34" s="356"/>
      <c r="AF34" s="532" t="str">
        <f t="shared" si="8"/>
        <v/>
      </c>
      <c r="AG34" s="530" t="str">
        <f t="shared" si="13"/>
        <v/>
      </c>
      <c r="AH34" s="528" t="str">
        <f t="shared" si="9"/>
        <v/>
      </c>
      <c r="AI34" s="204" t="str">
        <f>IF($C34="","",VLOOKUP($AH34,'3-1.標準報酬月額・保険料表'!$N$8:$O$57,2,TRUE))</f>
        <v/>
      </c>
      <c r="AJ34" s="148"/>
      <c r="AK34" s="148"/>
      <c r="AL34" s="204">
        <f t="shared" si="10"/>
        <v>0</v>
      </c>
    </row>
    <row r="35" spans="1:38" s="145" customFormat="1" ht="20.100000000000001" customHeight="1" x14ac:dyDescent="0.15">
      <c r="A35" s="146" t="str">
        <f t="shared" si="5"/>
        <v/>
      </c>
      <c r="B35" s="325"/>
      <c r="C35" s="326"/>
      <c r="D35" s="327"/>
      <c r="E35" s="327"/>
      <c r="F35" s="328"/>
      <c r="G35" s="329"/>
      <c r="H35" s="329"/>
      <c r="I35" s="147" t="str">
        <f t="shared" si="11"/>
        <v/>
      </c>
      <c r="J35" s="147" t="str">
        <f t="shared" si="0"/>
        <v/>
      </c>
      <c r="K35" s="147" t="str">
        <f t="shared" si="1"/>
        <v/>
      </c>
      <c r="L35" s="147" t="str">
        <f t="shared" si="2"/>
        <v/>
      </c>
      <c r="M35" s="330"/>
      <c r="N35" s="331"/>
      <c r="O35" s="201" t="str">
        <f t="shared" si="3"/>
        <v/>
      </c>
      <c r="P35" s="202" t="str">
        <f t="shared" si="4"/>
        <v/>
      </c>
      <c r="Q35" s="332"/>
      <c r="R35" s="332"/>
      <c r="S35" s="332" t="str">
        <f t="shared" si="12"/>
        <v/>
      </c>
      <c r="T35" s="204" t="str">
        <f t="shared" si="6"/>
        <v/>
      </c>
      <c r="U35" s="343" t="str">
        <f t="shared" si="7"/>
        <v/>
      </c>
      <c r="V35" s="350"/>
      <c r="W35" s="349"/>
      <c r="X35" s="345"/>
      <c r="Y35" s="330"/>
      <c r="Z35" s="330"/>
      <c r="AA35" s="330"/>
      <c r="AB35" s="330"/>
      <c r="AC35" s="330"/>
      <c r="AD35" s="349"/>
      <c r="AE35" s="356"/>
      <c r="AF35" s="532" t="str">
        <f t="shared" si="8"/>
        <v/>
      </c>
      <c r="AG35" s="530" t="str">
        <f t="shared" si="13"/>
        <v/>
      </c>
      <c r="AH35" s="528" t="str">
        <f t="shared" si="9"/>
        <v/>
      </c>
      <c r="AI35" s="204" t="str">
        <f>IF($C35="","",VLOOKUP($AH35,'3-1.標準報酬月額・保険料表'!$N$8:$O$57,2,TRUE))</f>
        <v/>
      </c>
      <c r="AJ35" s="148"/>
      <c r="AK35" s="148"/>
      <c r="AL35" s="204">
        <f t="shared" si="10"/>
        <v>0</v>
      </c>
    </row>
    <row r="36" spans="1:38" s="145" customFormat="1" ht="20.100000000000001" customHeight="1" x14ac:dyDescent="0.15">
      <c r="A36" s="146" t="str">
        <f t="shared" si="5"/>
        <v/>
      </c>
      <c r="B36" s="325"/>
      <c r="C36" s="326"/>
      <c r="D36" s="327"/>
      <c r="E36" s="327"/>
      <c r="F36" s="328"/>
      <c r="G36" s="329"/>
      <c r="H36" s="329"/>
      <c r="I36" s="147" t="str">
        <f t="shared" si="11"/>
        <v/>
      </c>
      <c r="J36" s="147" t="str">
        <f t="shared" si="0"/>
        <v/>
      </c>
      <c r="K36" s="147" t="str">
        <f t="shared" si="1"/>
        <v/>
      </c>
      <c r="L36" s="147" t="str">
        <f t="shared" si="2"/>
        <v/>
      </c>
      <c r="M36" s="330"/>
      <c r="N36" s="331"/>
      <c r="O36" s="201" t="str">
        <f t="shared" si="3"/>
        <v/>
      </c>
      <c r="P36" s="202" t="str">
        <f t="shared" si="4"/>
        <v/>
      </c>
      <c r="Q36" s="332"/>
      <c r="R36" s="332"/>
      <c r="S36" s="332" t="str">
        <f t="shared" si="12"/>
        <v/>
      </c>
      <c r="T36" s="204" t="str">
        <f t="shared" si="6"/>
        <v/>
      </c>
      <c r="U36" s="343" t="str">
        <f t="shared" si="7"/>
        <v/>
      </c>
      <c r="V36" s="350"/>
      <c r="W36" s="349"/>
      <c r="X36" s="345"/>
      <c r="Y36" s="330"/>
      <c r="Z36" s="330"/>
      <c r="AA36" s="330"/>
      <c r="AB36" s="330"/>
      <c r="AC36" s="330"/>
      <c r="AD36" s="349"/>
      <c r="AE36" s="356"/>
      <c r="AF36" s="532" t="str">
        <f t="shared" si="8"/>
        <v/>
      </c>
      <c r="AG36" s="530" t="str">
        <f t="shared" si="13"/>
        <v/>
      </c>
      <c r="AH36" s="528" t="str">
        <f t="shared" si="9"/>
        <v/>
      </c>
      <c r="AI36" s="204" t="str">
        <f>IF($C36="","",VLOOKUP($AH36,'3-1.標準報酬月額・保険料表'!$N$8:$O$57,2,TRUE))</f>
        <v/>
      </c>
      <c r="AJ36" s="148"/>
      <c r="AK36" s="148"/>
      <c r="AL36" s="204">
        <f t="shared" si="10"/>
        <v>0</v>
      </c>
    </row>
    <row r="37" spans="1:38" s="145" customFormat="1" ht="20.100000000000001" customHeight="1" x14ac:dyDescent="0.15">
      <c r="A37" s="146" t="str">
        <f t="shared" si="5"/>
        <v/>
      </c>
      <c r="B37" s="325"/>
      <c r="C37" s="326"/>
      <c r="D37" s="327"/>
      <c r="E37" s="327"/>
      <c r="F37" s="328"/>
      <c r="G37" s="329"/>
      <c r="H37" s="329"/>
      <c r="I37" s="147" t="str">
        <f t="shared" si="11"/>
        <v/>
      </c>
      <c r="J37" s="147" t="str">
        <f t="shared" si="0"/>
        <v/>
      </c>
      <c r="K37" s="147" t="str">
        <f t="shared" si="1"/>
        <v/>
      </c>
      <c r="L37" s="147" t="str">
        <f t="shared" si="2"/>
        <v/>
      </c>
      <c r="M37" s="330"/>
      <c r="N37" s="331"/>
      <c r="O37" s="201" t="str">
        <f t="shared" si="3"/>
        <v/>
      </c>
      <c r="P37" s="202" t="str">
        <f t="shared" si="4"/>
        <v/>
      </c>
      <c r="Q37" s="332"/>
      <c r="R37" s="332"/>
      <c r="S37" s="332" t="str">
        <f t="shared" si="12"/>
        <v/>
      </c>
      <c r="T37" s="204" t="str">
        <f t="shared" si="6"/>
        <v/>
      </c>
      <c r="U37" s="343" t="str">
        <f t="shared" si="7"/>
        <v/>
      </c>
      <c r="V37" s="350"/>
      <c r="W37" s="349"/>
      <c r="X37" s="345"/>
      <c r="Y37" s="330"/>
      <c r="Z37" s="330"/>
      <c r="AA37" s="330"/>
      <c r="AB37" s="330"/>
      <c r="AC37" s="330"/>
      <c r="AD37" s="349"/>
      <c r="AE37" s="356"/>
      <c r="AF37" s="532" t="str">
        <f t="shared" si="8"/>
        <v/>
      </c>
      <c r="AG37" s="530" t="str">
        <f t="shared" si="13"/>
        <v/>
      </c>
      <c r="AH37" s="528" t="str">
        <f t="shared" si="9"/>
        <v/>
      </c>
      <c r="AI37" s="204" t="str">
        <f>IF($C37="","",VLOOKUP($AH37,'3-1.標準報酬月額・保険料表'!$N$8:$O$57,2,TRUE))</f>
        <v/>
      </c>
      <c r="AJ37" s="148"/>
      <c r="AK37" s="148"/>
      <c r="AL37" s="204">
        <f t="shared" si="10"/>
        <v>0</v>
      </c>
    </row>
    <row r="38" spans="1:38" s="145" customFormat="1" ht="20.100000000000001" customHeight="1" x14ac:dyDescent="0.15">
      <c r="A38" s="146" t="str">
        <f t="shared" si="5"/>
        <v/>
      </c>
      <c r="B38" s="325"/>
      <c r="C38" s="326"/>
      <c r="D38" s="327"/>
      <c r="E38" s="327"/>
      <c r="F38" s="328"/>
      <c r="G38" s="329"/>
      <c r="H38" s="329"/>
      <c r="I38" s="147" t="str">
        <f t="shared" si="11"/>
        <v/>
      </c>
      <c r="J38" s="147" t="str">
        <f t="shared" si="0"/>
        <v/>
      </c>
      <c r="K38" s="147" t="str">
        <f t="shared" si="1"/>
        <v/>
      </c>
      <c r="L38" s="147" t="str">
        <f t="shared" si="2"/>
        <v/>
      </c>
      <c r="M38" s="330"/>
      <c r="N38" s="331"/>
      <c r="O38" s="201" t="str">
        <f t="shared" si="3"/>
        <v/>
      </c>
      <c r="P38" s="202" t="str">
        <f t="shared" si="4"/>
        <v/>
      </c>
      <c r="Q38" s="332"/>
      <c r="R38" s="332"/>
      <c r="S38" s="332" t="str">
        <f t="shared" si="12"/>
        <v/>
      </c>
      <c r="T38" s="204" t="str">
        <f t="shared" si="6"/>
        <v/>
      </c>
      <c r="U38" s="343" t="str">
        <f t="shared" si="7"/>
        <v/>
      </c>
      <c r="V38" s="350"/>
      <c r="W38" s="349"/>
      <c r="X38" s="345"/>
      <c r="Y38" s="330"/>
      <c r="Z38" s="330"/>
      <c r="AA38" s="330"/>
      <c r="AB38" s="330"/>
      <c r="AC38" s="330"/>
      <c r="AD38" s="349"/>
      <c r="AE38" s="356"/>
      <c r="AF38" s="532" t="str">
        <f t="shared" si="8"/>
        <v/>
      </c>
      <c r="AG38" s="530" t="str">
        <f t="shared" si="13"/>
        <v/>
      </c>
      <c r="AH38" s="528" t="str">
        <f t="shared" si="9"/>
        <v/>
      </c>
      <c r="AI38" s="204" t="str">
        <f>IF($C38="","",VLOOKUP($AH38,'3-1.標準報酬月額・保険料表'!$N$8:$O$57,2,TRUE))</f>
        <v/>
      </c>
      <c r="AJ38" s="148"/>
      <c r="AK38" s="148"/>
      <c r="AL38" s="204">
        <f t="shared" si="10"/>
        <v>0</v>
      </c>
    </row>
    <row r="39" spans="1:38" s="145" customFormat="1" ht="20.100000000000001" customHeight="1" x14ac:dyDescent="0.15">
      <c r="A39" s="146" t="str">
        <f t="shared" si="5"/>
        <v/>
      </c>
      <c r="B39" s="325"/>
      <c r="C39" s="326"/>
      <c r="D39" s="327"/>
      <c r="E39" s="327"/>
      <c r="F39" s="328"/>
      <c r="G39" s="329"/>
      <c r="H39" s="329"/>
      <c r="I39" s="147" t="str">
        <f t="shared" si="11"/>
        <v/>
      </c>
      <c r="J39" s="147" t="str">
        <f t="shared" si="0"/>
        <v/>
      </c>
      <c r="K39" s="147" t="str">
        <f t="shared" si="1"/>
        <v/>
      </c>
      <c r="L39" s="147" t="str">
        <f t="shared" si="2"/>
        <v/>
      </c>
      <c r="M39" s="330"/>
      <c r="N39" s="331"/>
      <c r="O39" s="201" t="str">
        <f t="shared" si="3"/>
        <v/>
      </c>
      <c r="P39" s="202" t="str">
        <f t="shared" si="4"/>
        <v/>
      </c>
      <c r="Q39" s="332"/>
      <c r="R39" s="332"/>
      <c r="S39" s="332" t="str">
        <f t="shared" si="12"/>
        <v/>
      </c>
      <c r="T39" s="204" t="str">
        <f t="shared" si="6"/>
        <v/>
      </c>
      <c r="U39" s="343" t="str">
        <f t="shared" si="7"/>
        <v/>
      </c>
      <c r="V39" s="350"/>
      <c r="W39" s="349"/>
      <c r="X39" s="345"/>
      <c r="Y39" s="330"/>
      <c r="Z39" s="330"/>
      <c r="AA39" s="330"/>
      <c r="AB39" s="330"/>
      <c r="AC39" s="330"/>
      <c r="AD39" s="349"/>
      <c r="AE39" s="356"/>
      <c r="AF39" s="532" t="str">
        <f t="shared" si="8"/>
        <v/>
      </c>
      <c r="AG39" s="530" t="str">
        <f t="shared" si="13"/>
        <v/>
      </c>
      <c r="AH39" s="528" t="str">
        <f t="shared" si="9"/>
        <v/>
      </c>
      <c r="AI39" s="204" t="str">
        <f>IF($C39="","",VLOOKUP($AH39,'3-1.標準報酬月額・保険料表'!$N$8:$O$57,2,TRUE))</f>
        <v/>
      </c>
      <c r="AJ39" s="148"/>
      <c r="AK39" s="148"/>
      <c r="AL39" s="204">
        <f t="shared" si="10"/>
        <v>0</v>
      </c>
    </row>
    <row r="40" spans="1:38" s="145" customFormat="1" ht="20.100000000000001" customHeight="1" x14ac:dyDescent="0.15">
      <c r="A40" s="146" t="str">
        <f t="shared" si="5"/>
        <v/>
      </c>
      <c r="B40" s="325"/>
      <c r="C40" s="326"/>
      <c r="D40" s="327"/>
      <c r="E40" s="327"/>
      <c r="F40" s="328"/>
      <c r="G40" s="329"/>
      <c r="H40" s="329"/>
      <c r="I40" s="147" t="str">
        <f t="shared" si="11"/>
        <v/>
      </c>
      <c r="J40" s="147" t="str">
        <f t="shared" si="0"/>
        <v/>
      </c>
      <c r="K40" s="147" t="str">
        <f t="shared" si="1"/>
        <v/>
      </c>
      <c r="L40" s="147" t="str">
        <f t="shared" si="2"/>
        <v/>
      </c>
      <c r="M40" s="330"/>
      <c r="N40" s="331"/>
      <c r="O40" s="201" t="str">
        <f t="shared" si="3"/>
        <v/>
      </c>
      <c r="P40" s="202" t="str">
        <f t="shared" si="4"/>
        <v/>
      </c>
      <c r="Q40" s="332"/>
      <c r="R40" s="332"/>
      <c r="S40" s="332" t="str">
        <f t="shared" si="12"/>
        <v/>
      </c>
      <c r="T40" s="204" t="str">
        <f t="shared" si="6"/>
        <v/>
      </c>
      <c r="U40" s="343" t="str">
        <f t="shared" si="7"/>
        <v/>
      </c>
      <c r="V40" s="350"/>
      <c r="W40" s="349"/>
      <c r="X40" s="345"/>
      <c r="Y40" s="330"/>
      <c r="Z40" s="330"/>
      <c r="AA40" s="330"/>
      <c r="AB40" s="330"/>
      <c r="AC40" s="330"/>
      <c r="AD40" s="349"/>
      <c r="AE40" s="356"/>
      <c r="AF40" s="532" t="str">
        <f t="shared" si="8"/>
        <v/>
      </c>
      <c r="AG40" s="530" t="str">
        <f t="shared" si="13"/>
        <v/>
      </c>
      <c r="AH40" s="528" t="str">
        <f t="shared" si="9"/>
        <v/>
      </c>
      <c r="AI40" s="204" t="str">
        <f>IF($C40="","",VLOOKUP($AH40,'3-1.標準報酬月額・保険料表'!$N$8:$O$57,2,TRUE))</f>
        <v/>
      </c>
      <c r="AJ40" s="148"/>
      <c r="AK40" s="148"/>
      <c r="AL40" s="204">
        <f t="shared" si="10"/>
        <v>0</v>
      </c>
    </row>
    <row r="41" spans="1:38" s="145" customFormat="1" ht="20.100000000000001" customHeight="1" x14ac:dyDescent="0.15">
      <c r="A41" s="146" t="str">
        <f t="shared" si="5"/>
        <v/>
      </c>
      <c r="B41" s="325"/>
      <c r="C41" s="326"/>
      <c r="D41" s="327"/>
      <c r="E41" s="327"/>
      <c r="F41" s="328"/>
      <c r="G41" s="329"/>
      <c r="H41" s="329"/>
      <c r="I41" s="147" t="str">
        <f t="shared" si="11"/>
        <v/>
      </c>
      <c r="J41" s="147" t="str">
        <f t="shared" si="0"/>
        <v/>
      </c>
      <c r="K41" s="147" t="str">
        <f t="shared" si="1"/>
        <v/>
      </c>
      <c r="L41" s="147" t="str">
        <f t="shared" si="2"/>
        <v/>
      </c>
      <c r="M41" s="330"/>
      <c r="N41" s="331"/>
      <c r="O41" s="201" t="str">
        <f t="shared" si="3"/>
        <v/>
      </c>
      <c r="P41" s="202" t="str">
        <f t="shared" si="4"/>
        <v/>
      </c>
      <c r="Q41" s="332"/>
      <c r="R41" s="332"/>
      <c r="S41" s="332" t="str">
        <f t="shared" si="12"/>
        <v/>
      </c>
      <c r="T41" s="204" t="str">
        <f t="shared" si="6"/>
        <v/>
      </c>
      <c r="U41" s="343" t="str">
        <f t="shared" si="7"/>
        <v/>
      </c>
      <c r="V41" s="350"/>
      <c r="W41" s="349"/>
      <c r="X41" s="345"/>
      <c r="Y41" s="330"/>
      <c r="Z41" s="330"/>
      <c r="AA41" s="330"/>
      <c r="AB41" s="330"/>
      <c r="AC41" s="330"/>
      <c r="AD41" s="349"/>
      <c r="AE41" s="356"/>
      <c r="AF41" s="532" t="str">
        <f t="shared" si="8"/>
        <v/>
      </c>
      <c r="AG41" s="530" t="str">
        <f t="shared" si="13"/>
        <v/>
      </c>
      <c r="AH41" s="528" t="str">
        <f t="shared" si="9"/>
        <v/>
      </c>
      <c r="AI41" s="204" t="str">
        <f>IF($C41="","",VLOOKUP($AH41,'3-1.標準報酬月額・保険料表'!$N$8:$O$57,2,TRUE))</f>
        <v/>
      </c>
      <c r="AJ41" s="148"/>
      <c r="AK41" s="148"/>
      <c r="AL41" s="204">
        <f t="shared" si="10"/>
        <v>0</v>
      </c>
    </row>
    <row r="42" spans="1:38" s="145" customFormat="1" ht="20.100000000000001" customHeight="1" x14ac:dyDescent="0.15">
      <c r="A42" s="146" t="str">
        <f t="shared" si="5"/>
        <v/>
      </c>
      <c r="B42" s="325"/>
      <c r="C42" s="326"/>
      <c r="D42" s="327"/>
      <c r="E42" s="327"/>
      <c r="F42" s="328"/>
      <c r="G42" s="329"/>
      <c r="H42" s="329"/>
      <c r="I42" s="147" t="str">
        <f t="shared" si="11"/>
        <v/>
      </c>
      <c r="J42" s="147" t="str">
        <f t="shared" si="0"/>
        <v/>
      </c>
      <c r="K42" s="147" t="str">
        <f t="shared" si="1"/>
        <v/>
      </c>
      <c r="L42" s="147" t="str">
        <f t="shared" si="2"/>
        <v/>
      </c>
      <c r="M42" s="330"/>
      <c r="N42" s="331"/>
      <c r="O42" s="201" t="str">
        <f t="shared" si="3"/>
        <v/>
      </c>
      <c r="P42" s="202" t="str">
        <f t="shared" si="4"/>
        <v/>
      </c>
      <c r="Q42" s="332"/>
      <c r="R42" s="332"/>
      <c r="S42" s="332" t="str">
        <f t="shared" si="12"/>
        <v/>
      </c>
      <c r="T42" s="204" t="str">
        <f t="shared" si="6"/>
        <v/>
      </c>
      <c r="U42" s="343" t="str">
        <f t="shared" si="7"/>
        <v/>
      </c>
      <c r="V42" s="350"/>
      <c r="W42" s="349"/>
      <c r="X42" s="345"/>
      <c r="Y42" s="330"/>
      <c r="Z42" s="330"/>
      <c r="AA42" s="330"/>
      <c r="AB42" s="330"/>
      <c r="AC42" s="330"/>
      <c r="AD42" s="349"/>
      <c r="AE42" s="356"/>
      <c r="AF42" s="532" t="str">
        <f t="shared" si="8"/>
        <v/>
      </c>
      <c r="AG42" s="530" t="str">
        <f t="shared" si="13"/>
        <v/>
      </c>
      <c r="AH42" s="528" t="str">
        <f t="shared" si="9"/>
        <v/>
      </c>
      <c r="AI42" s="204" t="str">
        <f>IF($C42="","",VLOOKUP($AH42,'3-1.標準報酬月額・保険料表'!$N$8:$O$57,2,TRUE))</f>
        <v/>
      </c>
      <c r="AJ42" s="148"/>
      <c r="AK42" s="148"/>
      <c r="AL42" s="204">
        <f t="shared" si="10"/>
        <v>0</v>
      </c>
    </row>
    <row r="43" spans="1:38" s="145" customFormat="1" ht="20.100000000000001" customHeight="1" x14ac:dyDescent="0.15">
      <c r="A43" s="146" t="str">
        <f t="shared" si="5"/>
        <v/>
      </c>
      <c r="B43" s="325"/>
      <c r="C43" s="326"/>
      <c r="D43" s="327"/>
      <c r="E43" s="327"/>
      <c r="F43" s="328"/>
      <c r="G43" s="329"/>
      <c r="H43" s="329"/>
      <c r="I43" s="147" t="str">
        <f t="shared" si="11"/>
        <v/>
      </c>
      <c r="J43" s="147" t="str">
        <f t="shared" si="0"/>
        <v/>
      </c>
      <c r="K43" s="147" t="str">
        <f t="shared" si="1"/>
        <v/>
      </c>
      <c r="L43" s="147" t="str">
        <f t="shared" si="2"/>
        <v/>
      </c>
      <c r="M43" s="330"/>
      <c r="N43" s="331"/>
      <c r="O43" s="201" t="str">
        <f t="shared" si="3"/>
        <v/>
      </c>
      <c r="P43" s="202" t="str">
        <f t="shared" si="4"/>
        <v/>
      </c>
      <c r="Q43" s="332"/>
      <c r="R43" s="332"/>
      <c r="S43" s="332" t="str">
        <f t="shared" si="12"/>
        <v/>
      </c>
      <c r="T43" s="204" t="str">
        <f t="shared" si="6"/>
        <v/>
      </c>
      <c r="U43" s="343" t="str">
        <f t="shared" si="7"/>
        <v/>
      </c>
      <c r="V43" s="350"/>
      <c r="W43" s="349"/>
      <c r="X43" s="345"/>
      <c r="Y43" s="330"/>
      <c r="Z43" s="330"/>
      <c r="AA43" s="330"/>
      <c r="AB43" s="330"/>
      <c r="AC43" s="330"/>
      <c r="AD43" s="349"/>
      <c r="AE43" s="356"/>
      <c r="AF43" s="532" t="str">
        <f t="shared" si="8"/>
        <v/>
      </c>
      <c r="AG43" s="530" t="str">
        <f t="shared" si="13"/>
        <v/>
      </c>
      <c r="AH43" s="528" t="str">
        <f t="shared" si="9"/>
        <v/>
      </c>
      <c r="AI43" s="204" t="str">
        <f>IF($C43="","",VLOOKUP($AH43,'3-1.標準報酬月額・保険料表'!$N$8:$O$57,2,TRUE))</f>
        <v/>
      </c>
      <c r="AJ43" s="148"/>
      <c r="AK43" s="148"/>
      <c r="AL43" s="204">
        <f t="shared" si="10"/>
        <v>0</v>
      </c>
    </row>
    <row r="44" spans="1:38" s="145" customFormat="1" ht="20.100000000000001" customHeight="1" x14ac:dyDescent="0.15">
      <c r="A44" s="146" t="str">
        <f t="shared" si="5"/>
        <v/>
      </c>
      <c r="B44" s="325"/>
      <c r="C44" s="326"/>
      <c r="D44" s="327"/>
      <c r="E44" s="327"/>
      <c r="F44" s="328"/>
      <c r="G44" s="329"/>
      <c r="H44" s="329"/>
      <c r="I44" s="147" t="str">
        <f t="shared" si="11"/>
        <v/>
      </c>
      <c r="J44" s="147" t="str">
        <f t="shared" si="0"/>
        <v/>
      </c>
      <c r="K44" s="147" t="str">
        <f t="shared" si="1"/>
        <v/>
      </c>
      <c r="L44" s="147" t="str">
        <f t="shared" si="2"/>
        <v/>
      </c>
      <c r="M44" s="330"/>
      <c r="N44" s="331"/>
      <c r="O44" s="201" t="str">
        <f t="shared" si="3"/>
        <v/>
      </c>
      <c r="P44" s="202" t="str">
        <f t="shared" si="4"/>
        <v/>
      </c>
      <c r="Q44" s="332"/>
      <c r="R44" s="332"/>
      <c r="S44" s="332" t="str">
        <f t="shared" si="12"/>
        <v/>
      </c>
      <c r="T44" s="204" t="str">
        <f t="shared" si="6"/>
        <v/>
      </c>
      <c r="U44" s="343" t="str">
        <f t="shared" si="7"/>
        <v/>
      </c>
      <c r="V44" s="350"/>
      <c r="W44" s="349"/>
      <c r="X44" s="345"/>
      <c r="Y44" s="330"/>
      <c r="Z44" s="330"/>
      <c r="AA44" s="330"/>
      <c r="AB44" s="330"/>
      <c r="AC44" s="330"/>
      <c r="AD44" s="349"/>
      <c r="AE44" s="356"/>
      <c r="AF44" s="532" t="str">
        <f t="shared" si="8"/>
        <v/>
      </c>
      <c r="AG44" s="530" t="str">
        <f t="shared" si="13"/>
        <v/>
      </c>
      <c r="AH44" s="528" t="str">
        <f t="shared" si="9"/>
        <v/>
      </c>
      <c r="AI44" s="204" t="str">
        <f>IF($C44="","",VLOOKUP($AH44,'3-1.標準報酬月額・保険料表'!$N$8:$O$57,2,TRUE))</f>
        <v/>
      </c>
      <c r="AJ44" s="148"/>
      <c r="AK44" s="148"/>
      <c r="AL44" s="204">
        <f t="shared" si="10"/>
        <v>0</v>
      </c>
    </row>
    <row r="45" spans="1:38" s="145" customFormat="1" ht="20.100000000000001" customHeight="1" x14ac:dyDescent="0.15">
      <c r="A45" s="146" t="str">
        <f t="shared" si="5"/>
        <v/>
      </c>
      <c r="B45" s="325"/>
      <c r="C45" s="326"/>
      <c r="D45" s="327"/>
      <c r="E45" s="327"/>
      <c r="F45" s="328"/>
      <c r="G45" s="329"/>
      <c r="H45" s="329"/>
      <c r="I45" s="147" t="str">
        <f t="shared" si="11"/>
        <v/>
      </c>
      <c r="J45" s="147" t="str">
        <f t="shared" si="0"/>
        <v/>
      </c>
      <c r="K45" s="147" t="str">
        <f t="shared" si="1"/>
        <v/>
      </c>
      <c r="L45" s="147" t="str">
        <f t="shared" si="2"/>
        <v/>
      </c>
      <c r="M45" s="330"/>
      <c r="N45" s="331"/>
      <c r="O45" s="201" t="str">
        <f t="shared" si="3"/>
        <v/>
      </c>
      <c r="P45" s="202" t="str">
        <f t="shared" si="4"/>
        <v/>
      </c>
      <c r="Q45" s="332"/>
      <c r="R45" s="332"/>
      <c r="S45" s="332" t="str">
        <f t="shared" si="12"/>
        <v/>
      </c>
      <c r="T45" s="204" t="str">
        <f t="shared" si="6"/>
        <v/>
      </c>
      <c r="U45" s="343" t="str">
        <f t="shared" si="7"/>
        <v/>
      </c>
      <c r="V45" s="350"/>
      <c r="W45" s="349"/>
      <c r="X45" s="345"/>
      <c r="Y45" s="330"/>
      <c r="Z45" s="330"/>
      <c r="AA45" s="330"/>
      <c r="AB45" s="330"/>
      <c r="AC45" s="330"/>
      <c r="AD45" s="349"/>
      <c r="AE45" s="356"/>
      <c r="AF45" s="532" t="str">
        <f t="shared" si="8"/>
        <v/>
      </c>
      <c r="AG45" s="530" t="str">
        <f t="shared" si="13"/>
        <v/>
      </c>
      <c r="AH45" s="528" t="str">
        <f t="shared" si="9"/>
        <v/>
      </c>
      <c r="AI45" s="204" t="str">
        <f>IF($C45="","",VLOOKUP($AH45,'3-1.標準報酬月額・保険料表'!$N$8:$O$57,2,TRUE))</f>
        <v/>
      </c>
      <c r="AJ45" s="148"/>
      <c r="AK45" s="148"/>
      <c r="AL45" s="204">
        <f t="shared" si="10"/>
        <v>0</v>
      </c>
    </row>
    <row r="46" spans="1:38" s="145" customFormat="1" ht="20.100000000000001" customHeight="1" x14ac:dyDescent="0.15">
      <c r="A46" s="146" t="str">
        <f t="shared" si="5"/>
        <v/>
      </c>
      <c r="B46" s="325"/>
      <c r="C46" s="326"/>
      <c r="D46" s="327"/>
      <c r="E46" s="327"/>
      <c r="F46" s="328"/>
      <c r="G46" s="329"/>
      <c r="H46" s="329"/>
      <c r="I46" s="147" t="str">
        <f t="shared" si="11"/>
        <v/>
      </c>
      <c r="J46" s="147" t="str">
        <f t="shared" si="0"/>
        <v/>
      </c>
      <c r="K46" s="147" t="str">
        <f t="shared" si="1"/>
        <v/>
      </c>
      <c r="L46" s="147" t="str">
        <f t="shared" si="2"/>
        <v/>
      </c>
      <c r="M46" s="330"/>
      <c r="N46" s="331"/>
      <c r="O46" s="201" t="str">
        <f t="shared" si="3"/>
        <v/>
      </c>
      <c r="P46" s="202" t="str">
        <f t="shared" si="4"/>
        <v/>
      </c>
      <c r="Q46" s="332"/>
      <c r="R46" s="332"/>
      <c r="S46" s="332" t="str">
        <f t="shared" si="12"/>
        <v/>
      </c>
      <c r="T46" s="204" t="str">
        <f t="shared" si="6"/>
        <v/>
      </c>
      <c r="U46" s="343" t="str">
        <f t="shared" si="7"/>
        <v/>
      </c>
      <c r="V46" s="350"/>
      <c r="W46" s="349"/>
      <c r="X46" s="345"/>
      <c r="Y46" s="330"/>
      <c r="Z46" s="330"/>
      <c r="AA46" s="330"/>
      <c r="AB46" s="330"/>
      <c r="AC46" s="330"/>
      <c r="AD46" s="349"/>
      <c r="AE46" s="356"/>
      <c r="AF46" s="532" t="str">
        <f t="shared" si="8"/>
        <v/>
      </c>
      <c r="AG46" s="530" t="str">
        <f t="shared" si="13"/>
        <v/>
      </c>
      <c r="AH46" s="528" t="str">
        <f t="shared" si="9"/>
        <v/>
      </c>
      <c r="AI46" s="204" t="str">
        <f>IF($C46="","",VLOOKUP($AH46,'3-1.標準報酬月額・保険料表'!$N$8:$O$57,2,TRUE))</f>
        <v/>
      </c>
      <c r="AJ46" s="148"/>
      <c r="AK46" s="148"/>
      <c r="AL46" s="204">
        <f t="shared" si="10"/>
        <v>0</v>
      </c>
    </row>
    <row r="47" spans="1:38" s="145" customFormat="1" ht="20.100000000000001" customHeight="1" x14ac:dyDescent="0.15">
      <c r="A47" s="146" t="str">
        <f t="shared" si="5"/>
        <v/>
      </c>
      <c r="B47" s="325"/>
      <c r="C47" s="326"/>
      <c r="D47" s="327"/>
      <c r="E47" s="327"/>
      <c r="F47" s="328"/>
      <c r="G47" s="329"/>
      <c r="H47" s="329"/>
      <c r="I47" s="147" t="str">
        <f t="shared" si="11"/>
        <v/>
      </c>
      <c r="J47" s="147" t="str">
        <f t="shared" si="0"/>
        <v/>
      </c>
      <c r="K47" s="147" t="str">
        <f t="shared" si="1"/>
        <v/>
      </c>
      <c r="L47" s="147" t="str">
        <f t="shared" si="2"/>
        <v/>
      </c>
      <c r="M47" s="330"/>
      <c r="N47" s="331"/>
      <c r="O47" s="201" t="str">
        <f t="shared" si="3"/>
        <v/>
      </c>
      <c r="P47" s="202" t="str">
        <f t="shared" si="4"/>
        <v/>
      </c>
      <c r="Q47" s="332"/>
      <c r="R47" s="332"/>
      <c r="S47" s="332" t="str">
        <f t="shared" si="12"/>
        <v/>
      </c>
      <c r="T47" s="204" t="str">
        <f t="shared" si="6"/>
        <v/>
      </c>
      <c r="U47" s="343" t="str">
        <f t="shared" si="7"/>
        <v/>
      </c>
      <c r="V47" s="350"/>
      <c r="W47" s="349"/>
      <c r="X47" s="345"/>
      <c r="Y47" s="330"/>
      <c r="Z47" s="330"/>
      <c r="AA47" s="330"/>
      <c r="AB47" s="330"/>
      <c r="AC47" s="330"/>
      <c r="AD47" s="349"/>
      <c r="AE47" s="356"/>
      <c r="AF47" s="532" t="str">
        <f t="shared" si="8"/>
        <v/>
      </c>
      <c r="AG47" s="530" t="str">
        <f t="shared" si="13"/>
        <v/>
      </c>
      <c r="AH47" s="528" t="str">
        <f t="shared" si="9"/>
        <v/>
      </c>
      <c r="AI47" s="204" t="str">
        <f>IF($C47="","",VLOOKUP($AH47,'3-1.標準報酬月額・保険料表'!$N$8:$O$57,2,TRUE))</f>
        <v/>
      </c>
      <c r="AJ47" s="148"/>
      <c r="AK47" s="148"/>
      <c r="AL47" s="204">
        <f t="shared" si="10"/>
        <v>0</v>
      </c>
    </row>
    <row r="48" spans="1:38" s="145" customFormat="1" ht="20.100000000000001" customHeight="1" x14ac:dyDescent="0.15">
      <c r="A48" s="146" t="str">
        <f t="shared" si="5"/>
        <v/>
      </c>
      <c r="B48" s="325"/>
      <c r="C48" s="326"/>
      <c r="D48" s="327"/>
      <c r="E48" s="327"/>
      <c r="F48" s="328"/>
      <c r="G48" s="329"/>
      <c r="H48" s="329"/>
      <c r="I48" s="147" t="str">
        <f t="shared" si="11"/>
        <v/>
      </c>
      <c r="J48" s="147" t="str">
        <f t="shared" si="0"/>
        <v/>
      </c>
      <c r="K48" s="147" t="str">
        <f t="shared" si="1"/>
        <v/>
      </c>
      <c r="L48" s="147" t="str">
        <f t="shared" si="2"/>
        <v/>
      </c>
      <c r="M48" s="330"/>
      <c r="N48" s="331"/>
      <c r="O48" s="201" t="str">
        <f t="shared" si="3"/>
        <v/>
      </c>
      <c r="P48" s="202" t="str">
        <f t="shared" si="4"/>
        <v/>
      </c>
      <c r="Q48" s="332"/>
      <c r="R48" s="332"/>
      <c r="S48" s="332" t="str">
        <f t="shared" si="12"/>
        <v/>
      </c>
      <c r="T48" s="204" t="str">
        <f t="shared" si="6"/>
        <v/>
      </c>
      <c r="U48" s="343" t="str">
        <f t="shared" si="7"/>
        <v/>
      </c>
      <c r="V48" s="350"/>
      <c r="W48" s="349"/>
      <c r="X48" s="345"/>
      <c r="Y48" s="330"/>
      <c r="Z48" s="330"/>
      <c r="AA48" s="330"/>
      <c r="AB48" s="330"/>
      <c r="AC48" s="330"/>
      <c r="AD48" s="349"/>
      <c r="AE48" s="356"/>
      <c r="AF48" s="532" t="str">
        <f t="shared" si="8"/>
        <v/>
      </c>
      <c r="AG48" s="530" t="str">
        <f t="shared" si="13"/>
        <v/>
      </c>
      <c r="AH48" s="528" t="str">
        <f t="shared" si="9"/>
        <v/>
      </c>
      <c r="AI48" s="204" t="str">
        <f>IF($C48="","",VLOOKUP($AH48,'3-1.標準報酬月額・保険料表'!$N$8:$O$57,2,TRUE))</f>
        <v/>
      </c>
      <c r="AJ48" s="148"/>
      <c r="AK48" s="148"/>
      <c r="AL48" s="204">
        <f t="shared" si="10"/>
        <v>0</v>
      </c>
    </row>
    <row r="49" spans="1:38" s="145" customFormat="1" ht="20.100000000000001" customHeight="1" x14ac:dyDescent="0.15">
      <c r="A49" s="146" t="str">
        <f t="shared" si="5"/>
        <v/>
      </c>
      <c r="B49" s="325"/>
      <c r="C49" s="326"/>
      <c r="D49" s="327"/>
      <c r="E49" s="327"/>
      <c r="F49" s="328"/>
      <c r="G49" s="329"/>
      <c r="H49" s="329"/>
      <c r="I49" s="147" t="str">
        <f t="shared" si="11"/>
        <v/>
      </c>
      <c r="J49" s="147" t="str">
        <f t="shared" si="0"/>
        <v/>
      </c>
      <c r="K49" s="147" t="str">
        <f t="shared" si="1"/>
        <v/>
      </c>
      <c r="L49" s="147" t="str">
        <f t="shared" si="2"/>
        <v/>
      </c>
      <c r="M49" s="330"/>
      <c r="N49" s="331"/>
      <c r="O49" s="201" t="str">
        <f t="shared" si="3"/>
        <v/>
      </c>
      <c r="P49" s="202" t="str">
        <f t="shared" si="4"/>
        <v/>
      </c>
      <c r="Q49" s="332"/>
      <c r="R49" s="332"/>
      <c r="S49" s="332" t="str">
        <f t="shared" si="12"/>
        <v/>
      </c>
      <c r="T49" s="204" t="str">
        <f t="shared" si="6"/>
        <v/>
      </c>
      <c r="U49" s="343" t="str">
        <f t="shared" si="7"/>
        <v/>
      </c>
      <c r="V49" s="350"/>
      <c r="W49" s="349"/>
      <c r="X49" s="345"/>
      <c r="Y49" s="330"/>
      <c r="Z49" s="330"/>
      <c r="AA49" s="330"/>
      <c r="AB49" s="330"/>
      <c r="AC49" s="330"/>
      <c r="AD49" s="349"/>
      <c r="AE49" s="356"/>
      <c r="AF49" s="532" t="str">
        <f t="shared" si="8"/>
        <v/>
      </c>
      <c r="AG49" s="530" t="str">
        <f t="shared" si="13"/>
        <v/>
      </c>
      <c r="AH49" s="528" t="str">
        <f t="shared" si="9"/>
        <v/>
      </c>
      <c r="AI49" s="204" t="str">
        <f>IF($C49="","",VLOOKUP($AH49,'3-1.標準報酬月額・保険料表'!$N$8:$O$57,2,TRUE))</f>
        <v/>
      </c>
      <c r="AJ49" s="148"/>
      <c r="AK49" s="148"/>
      <c r="AL49" s="204">
        <f t="shared" si="10"/>
        <v>0</v>
      </c>
    </row>
    <row r="50" spans="1:38" s="145" customFormat="1" ht="20.100000000000001" customHeight="1" x14ac:dyDescent="0.15">
      <c r="A50" s="146" t="str">
        <f t="shared" si="5"/>
        <v/>
      </c>
      <c r="B50" s="325"/>
      <c r="C50" s="326"/>
      <c r="D50" s="327"/>
      <c r="E50" s="327"/>
      <c r="F50" s="328"/>
      <c r="G50" s="329"/>
      <c r="H50" s="329"/>
      <c r="I50" s="147" t="str">
        <f t="shared" si="11"/>
        <v/>
      </c>
      <c r="J50" s="147" t="str">
        <f t="shared" si="0"/>
        <v/>
      </c>
      <c r="K50" s="147" t="str">
        <f t="shared" si="1"/>
        <v/>
      </c>
      <c r="L50" s="147" t="str">
        <f t="shared" si="2"/>
        <v/>
      </c>
      <c r="M50" s="330"/>
      <c r="N50" s="331"/>
      <c r="O50" s="201" t="str">
        <f t="shared" si="3"/>
        <v/>
      </c>
      <c r="P50" s="202" t="str">
        <f t="shared" si="4"/>
        <v/>
      </c>
      <c r="Q50" s="332"/>
      <c r="R50" s="332"/>
      <c r="S50" s="332" t="str">
        <f t="shared" si="12"/>
        <v/>
      </c>
      <c r="T50" s="204" t="str">
        <f t="shared" si="6"/>
        <v/>
      </c>
      <c r="U50" s="343" t="str">
        <f t="shared" si="7"/>
        <v/>
      </c>
      <c r="V50" s="350"/>
      <c r="W50" s="349"/>
      <c r="X50" s="345"/>
      <c r="Y50" s="330"/>
      <c r="Z50" s="330"/>
      <c r="AA50" s="330"/>
      <c r="AB50" s="330"/>
      <c r="AC50" s="330"/>
      <c r="AD50" s="349"/>
      <c r="AE50" s="356"/>
      <c r="AF50" s="532" t="str">
        <f t="shared" si="8"/>
        <v/>
      </c>
      <c r="AG50" s="530" t="str">
        <f t="shared" si="13"/>
        <v/>
      </c>
      <c r="AH50" s="528" t="str">
        <f t="shared" si="9"/>
        <v/>
      </c>
      <c r="AI50" s="204" t="str">
        <f>IF($C50="","",VLOOKUP($AH50,'3-1.標準報酬月額・保険料表'!$N$8:$O$57,2,TRUE))</f>
        <v/>
      </c>
      <c r="AJ50" s="148"/>
      <c r="AK50" s="148"/>
      <c r="AL50" s="204">
        <f t="shared" si="10"/>
        <v>0</v>
      </c>
    </row>
    <row r="51" spans="1:38" s="145" customFormat="1" ht="20.100000000000001" customHeight="1" x14ac:dyDescent="0.15">
      <c r="A51" s="146" t="str">
        <f t="shared" si="5"/>
        <v/>
      </c>
      <c r="B51" s="325"/>
      <c r="C51" s="326"/>
      <c r="D51" s="327"/>
      <c r="E51" s="327"/>
      <c r="F51" s="328"/>
      <c r="G51" s="329"/>
      <c r="H51" s="329"/>
      <c r="I51" s="147" t="str">
        <f t="shared" si="11"/>
        <v/>
      </c>
      <c r="J51" s="147" t="str">
        <f t="shared" si="0"/>
        <v/>
      </c>
      <c r="K51" s="147" t="str">
        <f t="shared" si="1"/>
        <v/>
      </c>
      <c r="L51" s="147" t="str">
        <f t="shared" si="2"/>
        <v/>
      </c>
      <c r="M51" s="330"/>
      <c r="N51" s="331"/>
      <c r="O51" s="201" t="str">
        <f t="shared" si="3"/>
        <v/>
      </c>
      <c r="P51" s="202" t="str">
        <f t="shared" si="4"/>
        <v/>
      </c>
      <c r="Q51" s="332"/>
      <c r="R51" s="332"/>
      <c r="S51" s="332" t="str">
        <f t="shared" si="12"/>
        <v/>
      </c>
      <c r="T51" s="204" t="str">
        <f t="shared" si="6"/>
        <v/>
      </c>
      <c r="U51" s="343" t="str">
        <f t="shared" si="7"/>
        <v/>
      </c>
      <c r="V51" s="350"/>
      <c r="W51" s="349"/>
      <c r="X51" s="345"/>
      <c r="Y51" s="330"/>
      <c r="Z51" s="330"/>
      <c r="AA51" s="330"/>
      <c r="AB51" s="330"/>
      <c r="AC51" s="330"/>
      <c r="AD51" s="349"/>
      <c r="AE51" s="356"/>
      <c r="AF51" s="532" t="str">
        <f t="shared" si="8"/>
        <v/>
      </c>
      <c r="AG51" s="530" t="str">
        <f t="shared" si="13"/>
        <v/>
      </c>
      <c r="AH51" s="528" t="str">
        <f t="shared" si="9"/>
        <v/>
      </c>
      <c r="AI51" s="204" t="str">
        <f>IF($C51="","",VLOOKUP($AH51,'3-1.標準報酬月額・保険料表'!$N$8:$O$57,2,TRUE))</f>
        <v/>
      </c>
      <c r="AJ51" s="148"/>
      <c r="AK51" s="148"/>
      <c r="AL51" s="204">
        <f t="shared" si="10"/>
        <v>0</v>
      </c>
    </row>
    <row r="52" spans="1:38" s="145" customFormat="1" ht="20.100000000000001" customHeight="1" x14ac:dyDescent="0.15">
      <c r="A52" s="146" t="str">
        <f t="shared" si="5"/>
        <v/>
      </c>
      <c r="B52" s="325"/>
      <c r="C52" s="326"/>
      <c r="D52" s="327"/>
      <c r="E52" s="327"/>
      <c r="F52" s="328"/>
      <c r="G52" s="329"/>
      <c r="H52" s="329"/>
      <c r="I52" s="147" t="str">
        <f t="shared" si="11"/>
        <v/>
      </c>
      <c r="J52" s="147" t="str">
        <f t="shared" si="0"/>
        <v/>
      </c>
      <c r="K52" s="147" t="str">
        <f t="shared" si="1"/>
        <v/>
      </c>
      <c r="L52" s="147" t="str">
        <f t="shared" si="2"/>
        <v/>
      </c>
      <c r="M52" s="330"/>
      <c r="N52" s="331"/>
      <c r="O52" s="201" t="str">
        <f t="shared" si="3"/>
        <v/>
      </c>
      <c r="P52" s="202" t="str">
        <f t="shared" si="4"/>
        <v/>
      </c>
      <c r="Q52" s="332"/>
      <c r="R52" s="332"/>
      <c r="S52" s="332" t="str">
        <f t="shared" si="12"/>
        <v/>
      </c>
      <c r="T52" s="204" t="str">
        <f t="shared" si="6"/>
        <v/>
      </c>
      <c r="U52" s="343" t="str">
        <f t="shared" si="7"/>
        <v/>
      </c>
      <c r="V52" s="350"/>
      <c r="W52" s="349"/>
      <c r="X52" s="345"/>
      <c r="Y52" s="330"/>
      <c r="Z52" s="330"/>
      <c r="AA52" s="330"/>
      <c r="AB52" s="330"/>
      <c r="AC52" s="330"/>
      <c r="AD52" s="349"/>
      <c r="AE52" s="356"/>
      <c r="AF52" s="532" t="str">
        <f t="shared" si="8"/>
        <v/>
      </c>
      <c r="AG52" s="530" t="str">
        <f t="shared" si="13"/>
        <v/>
      </c>
      <c r="AH52" s="528" t="str">
        <f t="shared" si="9"/>
        <v/>
      </c>
      <c r="AI52" s="204" t="str">
        <f>IF($C52="","",VLOOKUP($AH52,'3-1.標準報酬月額・保険料表'!$N$8:$O$57,2,TRUE))</f>
        <v/>
      </c>
      <c r="AJ52" s="148"/>
      <c r="AK52" s="148"/>
      <c r="AL52" s="204">
        <f t="shared" si="10"/>
        <v>0</v>
      </c>
    </row>
    <row r="53" spans="1:38" s="145" customFormat="1" ht="20.100000000000001" customHeight="1" x14ac:dyDescent="0.15">
      <c r="A53" s="146" t="str">
        <f t="shared" si="5"/>
        <v/>
      </c>
      <c r="B53" s="325"/>
      <c r="C53" s="326"/>
      <c r="D53" s="327"/>
      <c r="E53" s="327"/>
      <c r="F53" s="328"/>
      <c r="G53" s="329"/>
      <c r="H53" s="329"/>
      <c r="I53" s="147" t="str">
        <f t="shared" si="11"/>
        <v/>
      </c>
      <c r="J53" s="147" t="str">
        <f t="shared" si="0"/>
        <v/>
      </c>
      <c r="K53" s="147" t="str">
        <f t="shared" si="1"/>
        <v/>
      </c>
      <c r="L53" s="147" t="str">
        <f t="shared" si="2"/>
        <v/>
      </c>
      <c r="M53" s="330"/>
      <c r="N53" s="331"/>
      <c r="O53" s="201" t="str">
        <f t="shared" si="3"/>
        <v/>
      </c>
      <c r="P53" s="202" t="str">
        <f t="shared" si="4"/>
        <v/>
      </c>
      <c r="Q53" s="332"/>
      <c r="R53" s="332"/>
      <c r="S53" s="332" t="str">
        <f t="shared" si="12"/>
        <v/>
      </c>
      <c r="T53" s="204" t="str">
        <f t="shared" si="6"/>
        <v/>
      </c>
      <c r="U53" s="343" t="str">
        <f t="shared" si="7"/>
        <v/>
      </c>
      <c r="V53" s="350"/>
      <c r="W53" s="349"/>
      <c r="X53" s="345"/>
      <c r="Y53" s="330"/>
      <c r="Z53" s="330"/>
      <c r="AA53" s="330"/>
      <c r="AB53" s="330"/>
      <c r="AC53" s="330"/>
      <c r="AD53" s="349"/>
      <c r="AE53" s="356"/>
      <c r="AF53" s="532" t="str">
        <f t="shared" si="8"/>
        <v/>
      </c>
      <c r="AG53" s="530" t="str">
        <f t="shared" si="13"/>
        <v/>
      </c>
      <c r="AH53" s="528" t="str">
        <f t="shared" si="9"/>
        <v/>
      </c>
      <c r="AI53" s="204" t="str">
        <f>IF($C53="","",VLOOKUP($AH53,'3-1.標準報酬月額・保険料表'!$N$8:$O$57,2,TRUE))</f>
        <v/>
      </c>
      <c r="AJ53" s="148"/>
      <c r="AK53" s="148"/>
      <c r="AL53" s="204">
        <f t="shared" si="10"/>
        <v>0</v>
      </c>
    </row>
    <row r="54" spans="1:38" s="145" customFormat="1" ht="20.100000000000001" customHeight="1" x14ac:dyDescent="0.15">
      <c r="A54" s="146" t="str">
        <f t="shared" si="5"/>
        <v/>
      </c>
      <c r="B54" s="325"/>
      <c r="C54" s="326"/>
      <c r="D54" s="327"/>
      <c r="E54" s="327"/>
      <c r="F54" s="328"/>
      <c r="G54" s="329"/>
      <c r="H54" s="329"/>
      <c r="I54" s="147" t="str">
        <f t="shared" si="11"/>
        <v/>
      </c>
      <c r="J54" s="147" t="str">
        <f t="shared" si="0"/>
        <v/>
      </c>
      <c r="K54" s="147" t="str">
        <f t="shared" si="1"/>
        <v/>
      </c>
      <c r="L54" s="147" t="str">
        <f t="shared" si="2"/>
        <v/>
      </c>
      <c r="M54" s="330"/>
      <c r="N54" s="331"/>
      <c r="O54" s="201" t="str">
        <f t="shared" si="3"/>
        <v/>
      </c>
      <c r="P54" s="202" t="str">
        <f t="shared" si="4"/>
        <v/>
      </c>
      <c r="Q54" s="332"/>
      <c r="R54" s="332"/>
      <c r="S54" s="332" t="str">
        <f t="shared" si="12"/>
        <v/>
      </c>
      <c r="T54" s="204" t="str">
        <f t="shared" si="6"/>
        <v/>
      </c>
      <c r="U54" s="343" t="str">
        <f t="shared" si="7"/>
        <v/>
      </c>
      <c r="V54" s="350"/>
      <c r="W54" s="349"/>
      <c r="X54" s="345"/>
      <c r="Y54" s="330"/>
      <c r="Z54" s="330"/>
      <c r="AA54" s="330"/>
      <c r="AB54" s="330"/>
      <c r="AC54" s="330"/>
      <c r="AD54" s="349"/>
      <c r="AE54" s="356"/>
      <c r="AF54" s="532" t="str">
        <f t="shared" si="8"/>
        <v/>
      </c>
      <c r="AG54" s="530" t="str">
        <f t="shared" si="13"/>
        <v/>
      </c>
      <c r="AH54" s="528" t="str">
        <f t="shared" si="9"/>
        <v/>
      </c>
      <c r="AI54" s="204" t="str">
        <f>IF($C54="","",VLOOKUP($AH54,'3-1.標準報酬月額・保険料表'!$N$8:$O$57,2,TRUE))</f>
        <v/>
      </c>
      <c r="AJ54" s="148"/>
      <c r="AK54" s="148"/>
      <c r="AL54" s="204">
        <f t="shared" si="10"/>
        <v>0</v>
      </c>
    </row>
    <row r="55" spans="1:38" s="145" customFormat="1" ht="20.100000000000001" customHeight="1" x14ac:dyDescent="0.15">
      <c r="A55" s="146" t="str">
        <f t="shared" si="5"/>
        <v/>
      </c>
      <c r="B55" s="325"/>
      <c r="C55" s="326"/>
      <c r="D55" s="327"/>
      <c r="E55" s="327"/>
      <c r="F55" s="328"/>
      <c r="G55" s="329"/>
      <c r="H55" s="329"/>
      <c r="I55" s="147" t="str">
        <f t="shared" si="11"/>
        <v/>
      </c>
      <c r="J55" s="147" t="str">
        <f t="shared" si="0"/>
        <v/>
      </c>
      <c r="K55" s="147" t="str">
        <f t="shared" si="1"/>
        <v/>
      </c>
      <c r="L55" s="147" t="str">
        <f t="shared" si="2"/>
        <v/>
      </c>
      <c r="M55" s="330"/>
      <c r="N55" s="331"/>
      <c r="O55" s="201" t="str">
        <f t="shared" si="3"/>
        <v/>
      </c>
      <c r="P55" s="202" t="str">
        <f t="shared" si="4"/>
        <v/>
      </c>
      <c r="Q55" s="332"/>
      <c r="R55" s="332"/>
      <c r="S55" s="332" t="str">
        <f t="shared" si="12"/>
        <v/>
      </c>
      <c r="T55" s="204" t="str">
        <f t="shared" si="6"/>
        <v/>
      </c>
      <c r="U55" s="343" t="str">
        <f t="shared" si="7"/>
        <v/>
      </c>
      <c r="V55" s="350"/>
      <c r="W55" s="349"/>
      <c r="X55" s="345"/>
      <c r="Y55" s="330"/>
      <c r="Z55" s="330"/>
      <c r="AA55" s="330"/>
      <c r="AB55" s="330"/>
      <c r="AC55" s="330"/>
      <c r="AD55" s="349"/>
      <c r="AE55" s="356"/>
      <c r="AF55" s="532" t="str">
        <f t="shared" si="8"/>
        <v/>
      </c>
      <c r="AG55" s="530" t="str">
        <f t="shared" si="13"/>
        <v/>
      </c>
      <c r="AH55" s="528" t="str">
        <f t="shared" si="9"/>
        <v/>
      </c>
      <c r="AI55" s="204" t="str">
        <f>IF($C55="","",VLOOKUP($AH55,'3-1.標準報酬月額・保険料表'!$N$8:$O$57,2,TRUE))</f>
        <v/>
      </c>
      <c r="AJ55" s="148"/>
      <c r="AK55" s="148"/>
      <c r="AL55" s="204">
        <f t="shared" si="10"/>
        <v>0</v>
      </c>
    </row>
    <row r="56" spans="1:38" s="145" customFormat="1" ht="20.100000000000001" customHeight="1" x14ac:dyDescent="0.15">
      <c r="A56" s="146" t="str">
        <f t="shared" si="5"/>
        <v/>
      </c>
      <c r="B56" s="325"/>
      <c r="C56" s="326"/>
      <c r="D56" s="327"/>
      <c r="E56" s="327"/>
      <c r="F56" s="328"/>
      <c r="G56" s="329"/>
      <c r="H56" s="329"/>
      <c r="I56" s="147" t="str">
        <f t="shared" si="11"/>
        <v/>
      </c>
      <c r="J56" s="147" t="str">
        <f t="shared" si="0"/>
        <v/>
      </c>
      <c r="K56" s="147" t="str">
        <f t="shared" si="1"/>
        <v/>
      </c>
      <c r="L56" s="147" t="str">
        <f t="shared" si="2"/>
        <v/>
      </c>
      <c r="M56" s="330"/>
      <c r="N56" s="331"/>
      <c r="O56" s="201" t="str">
        <f t="shared" si="3"/>
        <v/>
      </c>
      <c r="P56" s="202" t="str">
        <f t="shared" si="4"/>
        <v/>
      </c>
      <c r="Q56" s="332"/>
      <c r="R56" s="332"/>
      <c r="S56" s="332" t="str">
        <f t="shared" si="12"/>
        <v/>
      </c>
      <c r="T56" s="204" t="str">
        <f t="shared" si="6"/>
        <v/>
      </c>
      <c r="U56" s="343" t="str">
        <f t="shared" si="7"/>
        <v/>
      </c>
      <c r="V56" s="350"/>
      <c r="W56" s="349"/>
      <c r="X56" s="345"/>
      <c r="Y56" s="330"/>
      <c r="Z56" s="330"/>
      <c r="AA56" s="330"/>
      <c r="AB56" s="330"/>
      <c r="AC56" s="330"/>
      <c r="AD56" s="349"/>
      <c r="AE56" s="356"/>
      <c r="AF56" s="532" t="str">
        <f t="shared" si="8"/>
        <v/>
      </c>
      <c r="AG56" s="530" t="str">
        <f t="shared" si="13"/>
        <v/>
      </c>
      <c r="AH56" s="528" t="str">
        <f t="shared" si="9"/>
        <v/>
      </c>
      <c r="AI56" s="204" t="str">
        <f>IF($C56="","",VLOOKUP($AH56,'3-1.標準報酬月額・保険料表'!$N$8:$O$57,2,TRUE))</f>
        <v/>
      </c>
      <c r="AJ56" s="148"/>
      <c r="AK56" s="148"/>
      <c r="AL56" s="204">
        <f t="shared" si="10"/>
        <v>0</v>
      </c>
    </row>
    <row r="57" spans="1:38" s="145" customFormat="1" ht="20.100000000000001" customHeight="1" x14ac:dyDescent="0.15">
      <c r="A57" s="146" t="str">
        <f t="shared" si="5"/>
        <v/>
      </c>
      <c r="B57" s="325"/>
      <c r="C57" s="326"/>
      <c r="D57" s="327"/>
      <c r="E57" s="327"/>
      <c r="F57" s="328"/>
      <c r="G57" s="329"/>
      <c r="H57" s="329"/>
      <c r="I57" s="147" t="str">
        <f t="shared" si="11"/>
        <v/>
      </c>
      <c r="J57" s="147" t="str">
        <f t="shared" si="0"/>
        <v/>
      </c>
      <c r="K57" s="147" t="str">
        <f t="shared" si="1"/>
        <v/>
      </c>
      <c r="L57" s="147" t="str">
        <f t="shared" si="2"/>
        <v/>
      </c>
      <c r="M57" s="330"/>
      <c r="N57" s="331"/>
      <c r="O57" s="201" t="str">
        <f t="shared" si="3"/>
        <v/>
      </c>
      <c r="P57" s="202" t="str">
        <f t="shared" si="4"/>
        <v/>
      </c>
      <c r="Q57" s="332"/>
      <c r="R57" s="332"/>
      <c r="S57" s="332" t="str">
        <f t="shared" si="12"/>
        <v/>
      </c>
      <c r="T57" s="204" t="str">
        <f t="shared" si="6"/>
        <v/>
      </c>
      <c r="U57" s="343" t="str">
        <f t="shared" si="7"/>
        <v/>
      </c>
      <c r="V57" s="350"/>
      <c r="W57" s="349"/>
      <c r="X57" s="345"/>
      <c r="Y57" s="330"/>
      <c r="Z57" s="330"/>
      <c r="AA57" s="330"/>
      <c r="AB57" s="330"/>
      <c r="AC57" s="330"/>
      <c r="AD57" s="349"/>
      <c r="AE57" s="356"/>
      <c r="AF57" s="532" t="str">
        <f t="shared" si="8"/>
        <v/>
      </c>
      <c r="AG57" s="530" t="str">
        <f t="shared" si="13"/>
        <v/>
      </c>
      <c r="AH57" s="528" t="str">
        <f t="shared" si="9"/>
        <v/>
      </c>
      <c r="AI57" s="204" t="str">
        <f>IF($C57="","",VLOOKUP($AH57,'3-1.標準報酬月額・保険料表'!$N$8:$O$57,2,TRUE))</f>
        <v/>
      </c>
      <c r="AJ57" s="148"/>
      <c r="AK57" s="148"/>
      <c r="AL57" s="204">
        <f t="shared" si="10"/>
        <v>0</v>
      </c>
    </row>
    <row r="58" spans="1:38" s="145" customFormat="1" ht="20.100000000000001" customHeight="1" x14ac:dyDescent="0.15">
      <c r="A58" s="146" t="str">
        <f t="shared" si="5"/>
        <v/>
      </c>
      <c r="B58" s="325"/>
      <c r="C58" s="326"/>
      <c r="D58" s="327"/>
      <c r="E58" s="327"/>
      <c r="F58" s="328"/>
      <c r="G58" s="329"/>
      <c r="H58" s="329"/>
      <c r="I58" s="147" t="str">
        <f t="shared" si="11"/>
        <v/>
      </c>
      <c r="J58" s="147" t="str">
        <f t="shared" si="0"/>
        <v/>
      </c>
      <c r="K58" s="147" t="str">
        <f t="shared" si="1"/>
        <v/>
      </c>
      <c r="L58" s="147" t="str">
        <f t="shared" si="2"/>
        <v/>
      </c>
      <c r="M58" s="330"/>
      <c r="N58" s="331"/>
      <c r="O58" s="201" t="str">
        <f t="shared" si="3"/>
        <v/>
      </c>
      <c r="P58" s="202" t="str">
        <f t="shared" si="4"/>
        <v/>
      </c>
      <c r="Q58" s="332"/>
      <c r="R58" s="332"/>
      <c r="S58" s="332" t="str">
        <f t="shared" si="12"/>
        <v/>
      </c>
      <c r="T58" s="204" t="str">
        <f t="shared" si="6"/>
        <v/>
      </c>
      <c r="U58" s="343" t="str">
        <f t="shared" si="7"/>
        <v/>
      </c>
      <c r="V58" s="350"/>
      <c r="W58" s="349"/>
      <c r="X58" s="345"/>
      <c r="Y58" s="330"/>
      <c r="Z58" s="330"/>
      <c r="AA58" s="330"/>
      <c r="AB58" s="330"/>
      <c r="AC58" s="330"/>
      <c r="AD58" s="349"/>
      <c r="AE58" s="356"/>
      <c r="AF58" s="532" t="str">
        <f t="shared" si="8"/>
        <v/>
      </c>
      <c r="AG58" s="530" t="str">
        <f t="shared" si="13"/>
        <v/>
      </c>
      <c r="AH58" s="528" t="str">
        <f t="shared" si="9"/>
        <v/>
      </c>
      <c r="AI58" s="204" t="str">
        <f>IF($C58="","",VLOOKUP($AH58,'3-1.標準報酬月額・保険料表'!$N$8:$O$57,2,TRUE))</f>
        <v/>
      </c>
      <c r="AJ58" s="148"/>
      <c r="AK58" s="148"/>
      <c r="AL58" s="204">
        <f t="shared" si="10"/>
        <v>0</v>
      </c>
    </row>
    <row r="59" spans="1:38" s="145" customFormat="1" ht="20.100000000000001" customHeight="1" x14ac:dyDescent="0.15">
      <c r="A59" s="146" t="str">
        <f t="shared" si="5"/>
        <v/>
      </c>
      <c r="B59" s="325"/>
      <c r="C59" s="326"/>
      <c r="D59" s="327"/>
      <c r="E59" s="327"/>
      <c r="F59" s="328"/>
      <c r="G59" s="329"/>
      <c r="H59" s="329"/>
      <c r="I59" s="147" t="str">
        <f t="shared" si="11"/>
        <v/>
      </c>
      <c r="J59" s="147" t="str">
        <f t="shared" si="0"/>
        <v/>
      </c>
      <c r="K59" s="147" t="str">
        <f t="shared" si="1"/>
        <v/>
      </c>
      <c r="L59" s="147" t="str">
        <f t="shared" si="2"/>
        <v/>
      </c>
      <c r="M59" s="330"/>
      <c r="N59" s="331"/>
      <c r="O59" s="201" t="str">
        <f t="shared" si="3"/>
        <v/>
      </c>
      <c r="P59" s="202" t="str">
        <f t="shared" si="4"/>
        <v/>
      </c>
      <c r="Q59" s="332"/>
      <c r="R59" s="332"/>
      <c r="S59" s="332" t="str">
        <f t="shared" si="12"/>
        <v/>
      </c>
      <c r="T59" s="204" t="str">
        <f t="shared" si="6"/>
        <v/>
      </c>
      <c r="U59" s="343" t="str">
        <f t="shared" si="7"/>
        <v/>
      </c>
      <c r="V59" s="350"/>
      <c r="W59" s="349"/>
      <c r="X59" s="345"/>
      <c r="Y59" s="330"/>
      <c r="Z59" s="330"/>
      <c r="AA59" s="330"/>
      <c r="AB59" s="330"/>
      <c r="AC59" s="330"/>
      <c r="AD59" s="349"/>
      <c r="AE59" s="356"/>
      <c r="AF59" s="532" t="str">
        <f t="shared" si="8"/>
        <v/>
      </c>
      <c r="AG59" s="530" t="str">
        <f t="shared" si="13"/>
        <v/>
      </c>
      <c r="AH59" s="528" t="str">
        <f t="shared" si="9"/>
        <v/>
      </c>
      <c r="AI59" s="204" t="str">
        <f>IF($C59="","",VLOOKUP($AH59,'3-1.標準報酬月額・保険料表'!$N$8:$O$57,2,TRUE))</f>
        <v/>
      </c>
      <c r="AJ59" s="148"/>
      <c r="AK59" s="148"/>
      <c r="AL59" s="204">
        <f t="shared" si="10"/>
        <v>0</v>
      </c>
    </row>
    <row r="60" spans="1:38" s="145" customFormat="1" ht="20.100000000000001" customHeight="1" x14ac:dyDescent="0.15">
      <c r="A60" s="146" t="str">
        <f t="shared" si="5"/>
        <v/>
      </c>
      <c r="B60" s="325"/>
      <c r="C60" s="326"/>
      <c r="D60" s="327"/>
      <c r="E60" s="327"/>
      <c r="F60" s="328"/>
      <c r="G60" s="329"/>
      <c r="H60" s="329"/>
      <c r="I60" s="147" t="str">
        <f t="shared" si="11"/>
        <v/>
      </c>
      <c r="J60" s="147" t="str">
        <f t="shared" si="0"/>
        <v/>
      </c>
      <c r="K60" s="147" t="str">
        <f t="shared" si="1"/>
        <v/>
      </c>
      <c r="L60" s="147" t="str">
        <f t="shared" si="2"/>
        <v/>
      </c>
      <c r="M60" s="330"/>
      <c r="N60" s="331"/>
      <c r="O60" s="201" t="str">
        <f t="shared" si="3"/>
        <v/>
      </c>
      <c r="P60" s="202" t="str">
        <f t="shared" si="4"/>
        <v/>
      </c>
      <c r="Q60" s="332"/>
      <c r="R60" s="332"/>
      <c r="S60" s="332" t="str">
        <f t="shared" si="12"/>
        <v/>
      </c>
      <c r="T60" s="204" t="str">
        <f t="shared" si="6"/>
        <v/>
      </c>
      <c r="U60" s="343" t="str">
        <f t="shared" si="7"/>
        <v/>
      </c>
      <c r="V60" s="350"/>
      <c r="W60" s="349"/>
      <c r="X60" s="345"/>
      <c r="Y60" s="330"/>
      <c r="Z60" s="330"/>
      <c r="AA60" s="330"/>
      <c r="AB60" s="330"/>
      <c r="AC60" s="330"/>
      <c r="AD60" s="349"/>
      <c r="AE60" s="356"/>
      <c r="AF60" s="532" t="str">
        <f t="shared" si="8"/>
        <v/>
      </c>
      <c r="AG60" s="530" t="str">
        <f t="shared" si="13"/>
        <v/>
      </c>
      <c r="AH60" s="528" t="str">
        <f t="shared" si="9"/>
        <v/>
      </c>
      <c r="AI60" s="204" t="str">
        <f>IF($C60="","",VLOOKUP($AH60,'3-1.標準報酬月額・保険料表'!$N$8:$O$57,2,TRUE))</f>
        <v/>
      </c>
      <c r="AJ60" s="148"/>
      <c r="AK60" s="148"/>
      <c r="AL60" s="204">
        <f t="shared" si="10"/>
        <v>0</v>
      </c>
    </row>
    <row r="61" spans="1:38" s="145" customFormat="1" ht="20.100000000000001" customHeight="1" x14ac:dyDescent="0.15">
      <c r="A61" s="146" t="str">
        <f t="shared" si="5"/>
        <v/>
      </c>
      <c r="B61" s="325"/>
      <c r="C61" s="326"/>
      <c r="D61" s="327"/>
      <c r="E61" s="327"/>
      <c r="F61" s="328"/>
      <c r="G61" s="329"/>
      <c r="H61" s="329"/>
      <c r="I61" s="147" t="str">
        <f t="shared" si="11"/>
        <v/>
      </c>
      <c r="J61" s="147" t="str">
        <f t="shared" si="0"/>
        <v/>
      </c>
      <c r="K61" s="147" t="str">
        <f t="shared" si="1"/>
        <v/>
      </c>
      <c r="L61" s="147" t="str">
        <f t="shared" si="2"/>
        <v/>
      </c>
      <c r="M61" s="330"/>
      <c r="N61" s="331"/>
      <c r="O61" s="201" t="str">
        <f t="shared" si="3"/>
        <v/>
      </c>
      <c r="P61" s="202" t="str">
        <f t="shared" si="4"/>
        <v/>
      </c>
      <c r="Q61" s="332"/>
      <c r="R61" s="332"/>
      <c r="S61" s="332" t="str">
        <f t="shared" si="12"/>
        <v/>
      </c>
      <c r="T61" s="204" t="str">
        <f t="shared" si="6"/>
        <v/>
      </c>
      <c r="U61" s="343" t="str">
        <f t="shared" si="7"/>
        <v/>
      </c>
      <c r="V61" s="350"/>
      <c r="W61" s="349"/>
      <c r="X61" s="345"/>
      <c r="Y61" s="330"/>
      <c r="Z61" s="330"/>
      <c r="AA61" s="330"/>
      <c r="AB61" s="330"/>
      <c r="AC61" s="330"/>
      <c r="AD61" s="349"/>
      <c r="AE61" s="356"/>
      <c r="AF61" s="532" t="str">
        <f t="shared" si="8"/>
        <v/>
      </c>
      <c r="AG61" s="530" t="str">
        <f t="shared" si="13"/>
        <v/>
      </c>
      <c r="AH61" s="528" t="str">
        <f t="shared" si="9"/>
        <v/>
      </c>
      <c r="AI61" s="204" t="str">
        <f>IF($C61="","",VLOOKUP($AH61,'3-1.標準報酬月額・保険料表'!$N$8:$O$57,2,TRUE))</f>
        <v/>
      </c>
      <c r="AJ61" s="148"/>
      <c r="AK61" s="148"/>
      <c r="AL61" s="204">
        <f t="shared" si="10"/>
        <v>0</v>
      </c>
    </row>
    <row r="62" spans="1:38" s="145" customFormat="1" ht="20.100000000000001" customHeight="1" x14ac:dyDescent="0.15">
      <c r="A62" s="146" t="str">
        <f t="shared" si="5"/>
        <v/>
      </c>
      <c r="B62" s="325"/>
      <c r="C62" s="326"/>
      <c r="D62" s="327"/>
      <c r="E62" s="327"/>
      <c r="F62" s="328"/>
      <c r="G62" s="329"/>
      <c r="H62" s="329"/>
      <c r="I62" s="147" t="str">
        <f t="shared" si="11"/>
        <v/>
      </c>
      <c r="J62" s="147" t="str">
        <f t="shared" si="0"/>
        <v/>
      </c>
      <c r="K62" s="147" t="str">
        <f t="shared" si="1"/>
        <v/>
      </c>
      <c r="L62" s="147" t="str">
        <f t="shared" si="2"/>
        <v/>
      </c>
      <c r="M62" s="330"/>
      <c r="N62" s="331"/>
      <c r="O62" s="201" t="str">
        <f t="shared" si="3"/>
        <v/>
      </c>
      <c r="P62" s="202" t="str">
        <f t="shared" si="4"/>
        <v/>
      </c>
      <c r="Q62" s="332"/>
      <c r="R62" s="332"/>
      <c r="S62" s="332" t="str">
        <f t="shared" si="12"/>
        <v/>
      </c>
      <c r="T62" s="204" t="str">
        <f t="shared" si="6"/>
        <v/>
      </c>
      <c r="U62" s="343" t="str">
        <f t="shared" si="7"/>
        <v/>
      </c>
      <c r="V62" s="350"/>
      <c r="W62" s="349"/>
      <c r="X62" s="345"/>
      <c r="Y62" s="330"/>
      <c r="Z62" s="330"/>
      <c r="AA62" s="330"/>
      <c r="AB62" s="330"/>
      <c r="AC62" s="330"/>
      <c r="AD62" s="349"/>
      <c r="AE62" s="356"/>
      <c r="AF62" s="532" t="str">
        <f t="shared" si="8"/>
        <v/>
      </c>
      <c r="AG62" s="530" t="str">
        <f t="shared" si="13"/>
        <v/>
      </c>
      <c r="AH62" s="528" t="str">
        <f t="shared" si="9"/>
        <v/>
      </c>
      <c r="AI62" s="204" t="str">
        <f>IF($C62="","",VLOOKUP($AH62,'3-1.標準報酬月額・保険料表'!$N$8:$O$57,2,TRUE))</f>
        <v/>
      </c>
      <c r="AJ62" s="148"/>
      <c r="AK62" s="148"/>
      <c r="AL62" s="204">
        <f t="shared" si="10"/>
        <v>0</v>
      </c>
    </row>
    <row r="63" spans="1:38" s="145" customFormat="1" ht="20.100000000000001" customHeight="1" x14ac:dyDescent="0.15">
      <c r="A63" s="146" t="str">
        <f t="shared" si="5"/>
        <v/>
      </c>
      <c r="B63" s="325"/>
      <c r="C63" s="326"/>
      <c r="D63" s="327"/>
      <c r="E63" s="327"/>
      <c r="F63" s="328"/>
      <c r="G63" s="329"/>
      <c r="H63" s="329"/>
      <c r="I63" s="147" t="str">
        <f t="shared" si="11"/>
        <v/>
      </c>
      <c r="J63" s="147" t="str">
        <f t="shared" si="0"/>
        <v/>
      </c>
      <c r="K63" s="147" t="str">
        <f t="shared" si="1"/>
        <v/>
      </c>
      <c r="L63" s="147" t="str">
        <f t="shared" si="2"/>
        <v/>
      </c>
      <c r="M63" s="330"/>
      <c r="N63" s="331"/>
      <c r="O63" s="201" t="str">
        <f t="shared" si="3"/>
        <v/>
      </c>
      <c r="P63" s="202" t="str">
        <f t="shared" si="4"/>
        <v/>
      </c>
      <c r="Q63" s="332"/>
      <c r="R63" s="332"/>
      <c r="S63" s="332" t="str">
        <f t="shared" si="12"/>
        <v/>
      </c>
      <c r="T63" s="204" t="str">
        <f t="shared" si="6"/>
        <v/>
      </c>
      <c r="U63" s="343" t="str">
        <f t="shared" si="7"/>
        <v/>
      </c>
      <c r="V63" s="350"/>
      <c r="W63" s="349"/>
      <c r="X63" s="345"/>
      <c r="Y63" s="330"/>
      <c r="Z63" s="330"/>
      <c r="AA63" s="330"/>
      <c r="AB63" s="330"/>
      <c r="AC63" s="330"/>
      <c r="AD63" s="349"/>
      <c r="AE63" s="356"/>
      <c r="AF63" s="532" t="str">
        <f t="shared" si="8"/>
        <v/>
      </c>
      <c r="AG63" s="530" t="str">
        <f t="shared" si="13"/>
        <v/>
      </c>
      <c r="AH63" s="528" t="str">
        <f t="shared" si="9"/>
        <v/>
      </c>
      <c r="AI63" s="204" t="str">
        <f>IF($C63="","",VLOOKUP($AH63,'3-1.標準報酬月額・保険料表'!$N$8:$O$57,2,TRUE))</f>
        <v/>
      </c>
      <c r="AJ63" s="148"/>
      <c r="AK63" s="148"/>
      <c r="AL63" s="204">
        <f t="shared" si="10"/>
        <v>0</v>
      </c>
    </row>
    <row r="64" spans="1:38" s="145" customFormat="1" ht="20.100000000000001" customHeight="1" x14ac:dyDescent="0.15">
      <c r="A64" s="146" t="str">
        <f t="shared" si="5"/>
        <v/>
      </c>
      <c r="B64" s="325"/>
      <c r="C64" s="326"/>
      <c r="D64" s="327"/>
      <c r="E64" s="327"/>
      <c r="F64" s="328"/>
      <c r="G64" s="329"/>
      <c r="H64" s="329"/>
      <c r="I64" s="147" t="str">
        <f t="shared" si="11"/>
        <v/>
      </c>
      <c r="J64" s="147" t="str">
        <f t="shared" si="0"/>
        <v/>
      </c>
      <c r="K64" s="147" t="str">
        <f t="shared" si="1"/>
        <v/>
      </c>
      <c r="L64" s="147" t="str">
        <f t="shared" si="2"/>
        <v/>
      </c>
      <c r="M64" s="330"/>
      <c r="N64" s="331"/>
      <c r="O64" s="201" t="str">
        <f t="shared" si="3"/>
        <v/>
      </c>
      <c r="P64" s="202" t="str">
        <f t="shared" si="4"/>
        <v/>
      </c>
      <c r="Q64" s="332"/>
      <c r="R64" s="332"/>
      <c r="S64" s="332" t="str">
        <f t="shared" si="12"/>
        <v/>
      </c>
      <c r="T64" s="204" t="str">
        <f t="shared" si="6"/>
        <v/>
      </c>
      <c r="U64" s="343" t="str">
        <f t="shared" si="7"/>
        <v/>
      </c>
      <c r="V64" s="350"/>
      <c r="W64" s="349"/>
      <c r="X64" s="345"/>
      <c r="Y64" s="330"/>
      <c r="Z64" s="330"/>
      <c r="AA64" s="330"/>
      <c r="AB64" s="330"/>
      <c r="AC64" s="330"/>
      <c r="AD64" s="349"/>
      <c r="AE64" s="356"/>
      <c r="AF64" s="532" t="str">
        <f t="shared" si="8"/>
        <v/>
      </c>
      <c r="AG64" s="530" t="str">
        <f t="shared" si="13"/>
        <v/>
      </c>
      <c r="AH64" s="528" t="str">
        <f t="shared" si="9"/>
        <v/>
      </c>
      <c r="AI64" s="204" t="str">
        <f>IF($C64="","",VLOOKUP($AH64,'3-1.標準報酬月額・保険料表'!$N$8:$O$57,2,TRUE))</f>
        <v/>
      </c>
      <c r="AJ64" s="148"/>
      <c r="AK64" s="148"/>
      <c r="AL64" s="204">
        <f t="shared" si="10"/>
        <v>0</v>
      </c>
    </row>
    <row r="65" spans="1:38" s="145" customFormat="1" ht="20.100000000000001" customHeight="1" x14ac:dyDescent="0.15">
      <c r="A65" s="146" t="str">
        <f t="shared" si="5"/>
        <v/>
      </c>
      <c r="B65" s="325"/>
      <c r="C65" s="326"/>
      <c r="D65" s="327"/>
      <c r="E65" s="327"/>
      <c r="F65" s="328"/>
      <c r="G65" s="329"/>
      <c r="H65" s="329"/>
      <c r="I65" s="147" t="str">
        <f t="shared" si="11"/>
        <v/>
      </c>
      <c r="J65" s="147" t="str">
        <f t="shared" si="0"/>
        <v/>
      </c>
      <c r="K65" s="147" t="str">
        <f t="shared" si="1"/>
        <v/>
      </c>
      <c r="L65" s="147" t="str">
        <f t="shared" si="2"/>
        <v/>
      </c>
      <c r="M65" s="330"/>
      <c r="N65" s="331"/>
      <c r="O65" s="201" t="str">
        <f t="shared" si="3"/>
        <v/>
      </c>
      <c r="P65" s="202" t="str">
        <f t="shared" si="4"/>
        <v/>
      </c>
      <c r="Q65" s="332"/>
      <c r="R65" s="332"/>
      <c r="S65" s="332" t="str">
        <f t="shared" si="12"/>
        <v/>
      </c>
      <c r="T65" s="204" t="str">
        <f t="shared" si="6"/>
        <v/>
      </c>
      <c r="U65" s="343" t="str">
        <f t="shared" si="7"/>
        <v/>
      </c>
      <c r="V65" s="350"/>
      <c r="W65" s="349"/>
      <c r="X65" s="345"/>
      <c r="Y65" s="330"/>
      <c r="Z65" s="330"/>
      <c r="AA65" s="330"/>
      <c r="AB65" s="330"/>
      <c r="AC65" s="330"/>
      <c r="AD65" s="349"/>
      <c r="AE65" s="356"/>
      <c r="AF65" s="532" t="str">
        <f t="shared" si="8"/>
        <v/>
      </c>
      <c r="AG65" s="530" t="str">
        <f t="shared" si="13"/>
        <v/>
      </c>
      <c r="AH65" s="528" t="str">
        <f t="shared" si="9"/>
        <v/>
      </c>
      <c r="AI65" s="204" t="str">
        <f>IF($C65="","",VLOOKUP($AH65,'3-1.標準報酬月額・保険料表'!$N$8:$O$57,2,TRUE))</f>
        <v/>
      </c>
      <c r="AJ65" s="148"/>
      <c r="AK65" s="148"/>
      <c r="AL65" s="204">
        <f t="shared" si="10"/>
        <v>0</v>
      </c>
    </row>
    <row r="66" spans="1:38" s="145" customFormat="1" ht="20.100000000000001" customHeight="1" x14ac:dyDescent="0.15">
      <c r="A66" s="146" t="str">
        <f t="shared" si="5"/>
        <v/>
      </c>
      <c r="B66" s="325"/>
      <c r="C66" s="326"/>
      <c r="D66" s="327"/>
      <c r="E66" s="327"/>
      <c r="F66" s="328"/>
      <c r="G66" s="329"/>
      <c r="H66" s="329"/>
      <c r="I66" s="147" t="str">
        <f t="shared" si="11"/>
        <v/>
      </c>
      <c r="J66" s="147" t="str">
        <f t="shared" si="0"/>
        <v/>
      </c>
      <c r="K66" s="147" t="str">
        <f t="shared" si="1"/>
        <v/>
      </c>
      <c r="L66" s="147" t="str">
        <f t="shared" si="2"/>
        <v/>
      </c>
      <c r="M66" s="330"/>
      <c r="N66" s="331"/>
      <c r="O66" s="201" t="str">
        <f t="shared" si="3"/>
        <v/>
      </c>
      <c r="P66" s="202" t="str">
        <f t="shared" si="4"/>
        <v/>
      </c>
      <c r="Q66" s="332"/>
      <c r="R66" s="332"/>
      <c r="S66" s="332" t="str">
        <f t="shared" si="12"/>
        <v/>
      </c>
      <c r="T66" s="204" t="str">
        <f t="shared" si="6"/>
        <v/>
      </c>
      <c r="U66" s="343" t="str">
        <f t="shared" si="7"/>
        <v/>
      </c>
      <c r="V66" s="350"/>
      <c r="W66" s="349"/>
      <c r="X66" s="345"/>
      <c r="Y66" s="330"/>
      <c r="Z66" s="330"/>
      <c r="AA66" s="330"/>
      <c r="AB66" s="330"/>
      <c r="AC66" s="330"/>
      <c r="AD66" s="349"/>
      <c r="AE66" s="356"/>
      <c r="AF66" s="532" t="str">
        <f t="shared" si="8"/>
        <v/>
      </c>
      <c r="AG66" s="530" t="str">
        <f t="shared" si="13"/>
        <v/>
      </c>
      <c r="AH66" s="528" t="str">
        <f t="shared" si="9"/>
        <v/>
      </c>
      <c r="AI66" s="204" t="str">
        <f>IF($C66="","",VLOOKUP($AH66,'3-1.標準報酬月額・保険料表'!$N$8:$O$57,2,TRUE))</f>
        <v/>
      </c>
      <c r="AJ66" s="148"/>
      <c r="AK66" s="148"/>
      <c r="AL66" s="204">
        <f t="shared" si="10"/>
        <v>0</v>
      </c>
    </row>
    <row r="67" spans="1:38" s="145" customFormat="1" ht="20.100000000000001" customHeight="1" x14ac:dyDescent="0.15">
      <c r="A67" s="146" t="str">
        <f t="shared" si="5"/>
        <v/>
      </c>
      <c r="B67" s="325"/>
      <c r="C67" s="326"/>
      <c r="D67" s="327"/>
      <c r="E67" s="327"/>
      <c r="F67" s="328"/>
      <c r="G67" s="329"/>
      <c r="H67" s="329"/>
      <c r="I67" s="147" t="str">
        <f t="shared" si="11"/>
        <v/>
      </c>
      <c r="J67" s="147" t="str">
        <f t="shared" si="0"/>
        <v/>
      </c>
      <c r="K67" s="147" t="str">
        <f t="shared" si="1"/>
        <v/>
      </c>
      <c r="L67" s="147" t="str">
        <f t="shared" si="2"/>
        <v/>
      </c>
      <c r="M67" s="330"/>
      <c r="N67" s="331"/>
      <c r="O67" s="201" t="str">
        <f t="shared" si="3"/>
        <v/>
      </c>
      <c r="P67" s="202" t="str">
        <f t="shared" si="4"/>
        <v/>
      </c>
      <c r="Q67" s="332"/>
      <c r="R67" s="332"/>
      <c r="S67" s="332" t="str">
        <f t="shared" si="12"/>
        <v/>
      </c>
      <c r="T67" s="204" t="str">
        <f t="shared" si="6"/>
        <v/>
      </c>
      <c r="U67" s="343" t="str">
        <f t="shared" si="7"/>
        <v/>
      </c>
      <c r="V67" s="350"/>
      <c r="W67" s="349"/>
      <c r="X67" s="345"/>
      <c r="Y67" s="330"/>
      <c r="Z67" s="330"/>
      <c r="AA67" s="330"/>
      <c r="AB67" s="330"/>
      <c r="AC67" s="330"/>
      <c r="AD67" s="349"/>
      <c r="AE67" s="356"/>
      <c r="AF67" s="532" t="str">
        <f t="shared" si="8"/>
        <v/>
      </c>
      <c r="AG67" s="530" t="str">
        <f t="shared" si="13"/>
        <v/>
      </c>
      <c r="AH67" s="528" t="str">
        <f t="shared" si="9"/>
        <v/>
      </c>
      <c r="AI67" s="204" t="str">
        <f>IF($C67="","",VLOOKUP($AH67,'3-1.標準報酬月額・保険料表'!$N$8:$O$57,2,TRUE))</f>
        <v/>
      </c>
      <c r="AJ67" s="148"/>
      <c r="AK67" s="148"/>
      <c r="AL67" s="204">
        <f t="shared" si="10"/>
        <v>0</v>
      </c>
    </row>
    <row r="68" spans="1:38" s="145" customFormat="1" ht="20.100000000000001" customHeight="1" x14ac:dyDescent="0.15">
      <c r="A68" s="146" t="str">
        <f t="shared" si="5"/>
        <v/>
      </c>
      <c r="B68" s="325"/>
      <c r="C68" s="326"/>
      <c r="D68" s="327"/>
      <c r="E68" s="327"/>
      <c r="F68" s="328"/>
      <c r="G68" s="329"/>
      <c r="H68" s="329"/>
      <c r="I68" s="147" t="str">
        <f t="shared" si="11"/>
        <v/>
      </c>
      <c r="J68" s="147" t="str">
        <f t="shared" si="0"/>
        <v/>
      </c>
      <c r="K68" s="147" t="str">
        <f t="shared" si="1"/>
        <v/>
      </c>
      <c r="L68" s="147" t="str">
        <f t="shared" si="2"/>
        <v/>
      </c>
      <c r="M68" s="330"/>
      <c r="N68" s="331"/>
      <c r="O68" s="201" t="str">
        <f t="shared" si="3"/>
        <v/>
      </c>
      <c r="P68" s="202" t="str">
        <f t="shared" si="4"/>
        <v/>
      </c>
      <c r="Q68" s="332"/>
      <c r="R68" s="332"/>
      <c r="S68" s="332" t="str">
        <f t="shared" si="12"/>
        <v/>
      </c>
      <c r="T68" s="204" t="str">
        <f t="shared" si="6"/>
        <v/>
      </c>
      <c r="U68" s="343" t="str">
        <f t="shared" si="7"/>
        <v/>
      </c>
      <c r="V68" s="350"/>
      <c r="W68" s="349"/>
      <c r="X68" s="345"/>
      <c r="Y68" s="330"/>
      <c r="Z68" s="330"/>
      <c r="AA68" s="330"/>
      <c r="AB68" s="330"/>
      <c r="AC68" s="330"/>
      <c r="AD68" s="349"/>
      <c r="AE68" s="356"/>
      <c r="AF68" s="532" t="str">
        <f t="shared" si="8"/>
        <v/>
      </c>
      <c r="AG68" s="530" t="str">
        <f t="shared" si="13"/>
        <v/>
      </c>
      <c r="AH68" s="528" t="str">
        <f t="shared" si="9"/>
        <v/>
      </c>
      <c r="AI68" s="204" t="str">
        <f>IF($C68="","",VLOOKUP($AH68,'3-1.標準報酬月額・保険料表'!$N$8:$O$57,2,TRUE))</f>
        <v/>
      </c>
      <c r="AJ68" s="148"/>
      <c r="AK68" s="148"/>
      <c r="AL68" s="204">
        <f t="shared" si="10"/>
        <v>0</v>
      </c>
    </row>
    <row r="69" spans="1:38" s="145" customFormat="1" ht="20.100000000000001" customHeight="1" x14ac:dyDescent="0.15">
      <c r="A69" s="146" t="str">
        <f t="shared" si="5"/>
        <v/>
      </c>
      <c r="B69" s="325"/>
      <c r="C69" s="326"/>
      <c r="D69" s="327"/>
      <c r="E69" s="327"/>
      <c r="F69" s="328"/>
      <c r="G69" s="329"/>
      <c r="H69" s="329"/>
      <c r="I69" s="147" t="str">
        <f t="shared" si="11"/>
        <v/>
      </c>
      <c r="J69" s="147" t="str">
        <f t="shared" si="0"/>
        <v/>
      </c>
      <c r="K69" s="147" t="str">
        <f t="shared" si="1"/>
        <v/>
      </c>
      <c r="L69" s="147" t="str">
        <f t="shared" si="2"/>
        <v/>
      </c>
      <c r="M69" s="330"/>
      <c r="N69" s="331"/>
      <c r="O69" s="201" t="str">
        <f t="shared" si="3"/>
        <v/>
      </c>
      <c r="P69" s="202" t="str">
        <f t="shared" si="4"/>
        <v/>
      </c>
      <c r="Q69" s="332"/>
      <c r="R69" s="332"/>
      <c r="S69" s="332" t="str">
        <f t="shared" si="12"/>
        <v/>
      </c>
      <c r="T69" s="204" t="str">
        <f t="shared" si="6"/>
        <v/>
      </c>
      <c r="U69" s="343" t="str">
        <f t="shared" si="7"/>
        <v/>
      </c>
      <c r="V69" s="350"/>
      <c r="W69" s="349"/>
      <c r="X69" s="345"/>
      <c r="Y69" s="330"/>
      <c r="Z69" s="330"/>
      <c r="AA69" s="330"/>
      <c r="AB69" s="330"/>
      <c r="AC69" s="330"/>
      <c r="AD69" s="349"/>
      <c r="AE69" s="356"/>
      <c r="AF69" s="532" t="str">
        <f t="shared" si="8"/>
        <v/>
      </c>
      <c r="AG69" s="530" t="str">
        <f t="shared" si="13"/>
        <v/>
      </c>
      <c r="AH69" s="528" t="str">
        <f t="shared" si="9"/>
        <v/>
      </c>
      <c r="AI69" s="204" t="str">
        <f>IF($C69="","",VLOOKUP($AH69,'3-1.標準報酬月額・保険料表'!$N$8:$O$57,2,TRUE))</f>
        <v/>
      </c>
      <c r="AJ69" s="148"/>
      <c r="AK69" s="148"/>
      <c r="AL69" s="204">
        <f t="shared" si="10"/>
        <v>0</v>
      </c>
    </row>
    <row r="70" spans="1:38" s="145" customFormat="1" ht="20.100000000000001" customHeight="1" x14ac:dyDescent="0.15">
      <c r="A70" s="146" t="str">
        <f t="shared" si="5"/>
        <v/>
      </c>
      <c r="B70" s="325"/>
      <c r="C70" s="326"/>
      <c r="D70" s="327"/>
      <c r="E70" s="327"/>
      <c r="F70" s="328"/>
      <c r="G70" s="329"/>
      <c r="H70" s="329"/>
      <c r="I70" s="147" t="str">
        <f t="shared" si="11"/>
        <v/>
      </c>
      <c r="J70" s="147" t="str">
        <f t="shared" si="0"/>
        <v/>
      </c>
      <c r="K70" s="147" t="str">
        <f t="shared" si="1"/>
        <v/>
      </c>
      <c r="L70" s="147" t="str">
        <f t="shared" si="2"/>
        <v/>
      </c>
      <c r="M70" s="330"/>
      <c r="N70" s="331"/>
      <c r="O70" s="201" t="str">
        <f t="shared" si="3"/>
        <v/>
      </c>
      <c r="P70" s="202" t="str">
        <f t="shared" si="4"/>
        <v/>
      </c>
      <c r="Q70" s="332"/>
      <c r="R70" s="332"/>
      <c r="S70" s="332" t="str">
        <f t="shared" si="12"/>
        <v/>
      </c>
      <c r="T70" s="204" t="str">
        <f t="shared" si="6"/>
        <v/>
      </c>
      <c r="U70" s="343" t="str">
        <f t="shared" si="7"/>
        <v/>
      </c>
      <c r="V70" s="350"/>
      <c r="W70" s="349"/>
      <c r="X70" s="345"/>
      <c r="Y70" s="330"/>
      <c r="Z70" s="330"/>
      <c r="AA70" s="330"/>
      <c r="AB70" s="330"/>
      <c r="AC70" s="330"/>
      <c r="AD70" s="349"/>
      <c r="AE70" s="356"/>
      <c r="AF70" s="532" t="str">
        <f t="shared" si="8"/>
        <v/>
      </c>
      <c r="AG70" s="530" t="str">
        <f t="shared" si="13"/>
        <v/>
      </c>
      <c r="AH70" s="528" t="str">
        <f t="shared" si="9"/>
        <v/>
      </c>
      <c r="AI70" s="204" t="str">
        <f>IF($C70="","",VLOOKUP($AH70,'3-1.標準報酬月額・保険料表'!$N$8:$O$57,2,TRUE))</f>
        <v/>
      </c>
      <c r="AJ70" s="148"/>
      <c r="AK70" s="148"/>
      <c r="AL70" s="204">
        <f t="shared" si="10"/>
        <v>0</v>
      </c>
    </row>
    <row r="71" spans="1:38" s="145" customFormat="1" ht="20.100000000000001" customHeight="1" x14ac:dyDescent="0.15">
      <c r="A71" s="146" t="str">
        <f t="shared" si="5"/>
        <v/>
      </c>
      <c r="B71" s="325"/>
      <c r="C71" s="326"/>
      <c r="D71" s="327"/>
      <c r="E71" s="327"/>
      <c r="F71" s="328"/>
      <c r="G71" s="329"/>
      <c r="H71" s="329"/>
      <c r="I71" s="147" t="str">
        <f t="shared" si="11"/>
        <v/>
      </c>
      <c r="J71" s="147" t="str">
        <f t="shared" si="0"/>
        <v/>
      </c>
      <c r="K71" s="147" t="str">
        <f t="shared" si="1"/>
        <v/>
      </c>
      <c r="L71" s="147" t="str">
        <f t="shared" si="2"/>
        <v/>
      </c>
      <c r="M71" s="330"/>
      <c r="N71" s="331"/>
      <c r="O71" s="201" t="str">
        <f t="shared" si="3"/>
        <v/>
      </c>
      <c r="P71" s="202" t="str">
        <f t="shared" si="4"/>
        <v/>
      </c>
      <c r="Q71" s="332"/>
      <c r="R71" s="332"/>
      <c r="S71" s="332" t="str">
        <f t="shared" si="12"/>
        <v/>
      </c>
      <c r="T71" s="204" t="str">
        <f t="shared" si="6"/>
        <v/>
      </c>
      <c r="U71" s="343" t="str">
        <f t="shared" si="7"/>
        <v/>
      </c>
      <c r="V71" s="350"/>
      <c r="W71" s="349"/>
      <c r="X71" s="345"/>
      <c r="Y71" s="330"/>
      <c r="Z71" s="330"/>
      <c r="AA71" s="330"/>
      <c r="AB71" s="330"/>
      <c r="AC71" s="330"/>
      <c r="AD71" s="349"/>
      <c r="AE71" s="356"/>
      <c r="AF71" s="532" t="str">
        <f t="shared" si="8"/>
        <v/>
      </c>
      <c r="AG71" s="530" t="str">
        <f t="shared" si="13"/>
        <v/>
      </c>
      <c r="AH71" s="528" t="str">
        <f t="shared" si="9"/>
        <v/>
      </c>
      <c r="AI71" s="204" t="str">
        <f>IF($C71="","",VLOOKUP($AH71,'3-1.標準報酬月額・保険料表'!$N$8:$O$57,2,TRUE))</f>
        <v/>
      </c>
      <c r="AJ71" s="148"/>
      <c r="AK71" s="148"/>
      <c r="AL71" s="204">
        <f t="shared" si="10"/>
        <v>0</v>
      </c>
    </row>
    <row r="72" spans="1:38" s="145" customFormat="1" ht="20.100000000000001" customHeight="1" x14ac:dyDescent="0.15">
      <c r="A72" s="146" t="str">
        <f t="shared" si="5"/>
        <v/>
      </c>
      <c r="B72" s="325"/>
      <c r="C72" s="326"/>
      <c r="D72" s="327"/>
      <c r="E72" s="327"/>
      <c r="F72" s="328"/>
      <c r="G72" s="329"/>
      <c r="H72" s="329"/>
      <c r="I72" s="147" t="str">
        <f t="shared" si="11"/>
        <v/>
      </c>
      <c r="J72" s="147" t="str">
        <f t="shared" si="0"/>
        <v/>
      </c>
      <c r="K72" s="147" t="str">
        <f t="shared" si="1"/>
        <v/>
      </c>
      <c r="L72" s="147" t="str">
        <f t="shared" si="2"/>
        <v/>
      </c>
      <c r="M72" s="330"/>
      <c r="N72" s="331"/>
      <c r="O72" s="201" t="str">
        <f t="shared" si="3"/>
        <v/>
      </c>
      <c r="P72" s="202" t="str">
        <f t="shared" si="4"/>
        <v/>
      </c>
      <c r="Q72" s="332"/>
      <c r="R72" s="332"/>
      <c r="S72" s="332" t="str">
        <f t="shared" si="12"/>
        <v/>
      </c>
      <c r="T72" s="204" t="str">
        <f t="shared" si="6"/>
        <v/>
      </c>
      <c r="U72" s="343" t="str">
        <f t="shared" si="7"/>
        <v/>
      </c>
      <c r="V72" s="350"/>
      <c r="W72" s="349"/>
      <c r="X72" s="345"/>
      <c r="Y72" s="330"/>
      <c r="Z72" s="330"/>
      <c r="AA72" s="330"/>
      <c r="AB72" s="330"/>
      <c r="AC72" s="330"/>
      <c r="AD72" s="349"/>
      <c r="AE72" s="356"/>
      <c r="AF72" s="532" t="str">
        <f t="shared" si="8"/>
        <v/>
      </c>
      <c r="AG72" s="530" t="str">
        <f t="shared" si="13"/>
        <v/>
      </c>
      <c r="AH72" s="528" t="str">
        <f t="shared" si="9"/>
        <v/>
      </c>
      <c r="AI72" s="204" t="str">
        <f>IF($C72="","",VLOOKUP($AH72,'3-1.標準報酬月額・保険料表'!$N$8:$O$57,2,TRUE))</f>
        <v/>
      </c>
      <c r="AJ72" s="148"/>
      <c r="AK72" s="148"/>
      <c r="AL72" s="204">
        <f t="shared" si="10"/>
        <v>0</v>
      </c>
    </row>
    <row r="73" spans="1:38" s="145" customFormat="1" ht="20.100000000000001" customHeight="1" x14ac:dyDescent="0.15">
      <c r="A73" s="146" t="str">
        <f t="shared" si="5"/>
        <v/>
      </c>
      <c r="B73" s="325"/>
      <c r="C73" s="326"/>
      <c r="D73" s="327"/>
      <c r="E73" s="327"/>
      <c r="F73" s="328"/>
      <c r="G73" s="329"/>
      <c r="H73" s="329"/>
      <c r="I73" s="147" t="str">
        <f t="shared" si="11"/>
        <v/>
      </c>
      <c r="J73" s="147" t="str">
        <f t="shared" si="0"/>
        <v/>
      </c>
      <c r="K73" s="147" t="str">
        <f t="shared" si="1"/>
        <v/>
      </c>
      <c r="L73" s="147" t="str">
        <f t="shared" si="2"/>
        <v/>
      </c>
      <c r="M73" s="330"/>
      <c r="N73" s="331"/>
      <c r="O73" s="201" t="str">
        <f t="shared" si="3"/>
        <v/>
      </c>
      <c r="P73" s="202" t="str">
        <f t="shared" si="4"/>
        <v/>
      </c>
      <c r="Q73" s="332"/>
      <c r="R73" s="332"/>
      <c r="S73" s="332" t="str">
        <f t="shared" si="12"/>
        <v/>
      </c>
      <c r="T73" s="204" t="str">
        <f t="shared" si="6"/>
        <v/>
      </c>
      <c r="U73" s="343" t="str">
        <f t="shared" si="7"/>
        <v/>
      </c>
      <c r="V73" s="350"/>
      <c r="W73" s="349"/>
      <c r="X73" s="345"/>
      <c r="Y73" s="330"/>
      <c r="Z73" s="330"/>
      <c r="AA73" s="330"/>
      <c r="AB73" s="330"/>
      <c r="AC73" s="330"/>
      <c r="AD73" s="349"/>
      <c r="AE73" s="356"/>
      <c r="AF73" s="532" t="str">
        <f t="shared" si="8"/>
        <v/>
      </c>
      <c r="AG73" s="530" t="str">
        <f t="shared" si="13"/>
        <v/>
      </c>
      <c r="AH73" s="528" t="str">
        <f t="shared" si="9"/>
        <v/>
      </c>
      <c r="AI73" s="204" t="str">
        <f>IF($C73="","",VLOOKUP($AH73,'3-1.標準報酬月額・保険料表'!$N$8:$O$57,2,TRUE))</f>
        <v/>
      </c>
      <c r="AJ73" s="148"/>
      <c r="AK73" s="148"/>
      <c r="AL73" s="204">
        <f t="shared" si="10"/>
        <v>0</v>
      </c>
    </row>
    <row r="74" spans="1:38" s="145" customFormat="1" ht="20.100000000000001" customHeight="1" x14ac:dyDescent="0.15">
      <c r="A74" s="146" t="str">
        <f t="shared" si="5"/>
        <v/>
      </c>
      <c r="B74" s="325"/>
      <c r="C74" s="326"/>
      <c r="D74" s="327"/>
      <c r="E74" s="327"/>
      <c r="F74" s="328"/>
      <c r="G74" s="329"/>
      <c r="H74" s="329"/>
      <c r="I74" s="147" t="str">
        <f t="shared" si="11"/>
        <v/>
      </c>
      <c r="J74" s="147" t="str">
        <f t="shared" ref="J74:J109" si="14">IF(G74="","",DATEDIF(G74-1,$I$4,"YM"))</f>
        <v/>
      </c>
      <c r="K74" s="147" t="str">
        <f t="shared" ref="K74:K109" si="15">IF(H74="","",DATEDIF(H74-1,$I$4,"Y"))</f>
        <v/>
      </c>
      <c r="L74" s="147" t="str">
        <f t="shared" ref="L74:L109" si="16">IF(H74="","",DATEDIF(H74-1,$I$4,"YM"))</f>
        <v/>
      </c>
      <c r="M74" s="330"/>
      <c r="N74" s="331"/>
      <c r="O74" s="201" t="str">
        <f t="shared" si="3"/>
        <v/>
      </c>
      <c r="P74" s="202" t="str">
        <f t="shared" si="4"/>
        <v/>
      </c>
      <c r="Q74" s="332"/>
      <c r="R74" s="332"/>
      <c r="S74" s="332" t="str">
        <f t="shared" si="12"/>
        <v/>
      </c>
      <c r="T74" s="204" t="str">
        <f t="shared" si="6"/>
        <v/>
      </c>
      <c r="U74" s="343" t="str">
        <f t="shared" si="7"/>
        <v/>
      </c>
      <c r="V74" s="350"/>
      <c r="W74" s="349"/>
      <c r="X74" s="345"/>
      <c r="Y74" s="330"/>
      <c r="Z74" s="330"/>
      <c r="AA74" s="330"/>
      <c r="AB74" s="330"/>
      <c r="AC74" s="330"/>
      <c r="AD74" s="349"/>
      <c r="AE74" s="356"/>
      <c r="AF74" s="532" t="str">
        <f t="shared" si="8"/>
        <v/>
      </c>
      <c r="AG74" s="530" t="str">
        <f t="shared" si="13"/>
        <v/>
      </c>
      <c r="AH74" s="528" t="str">
        <f t="shared" si="9"/>
        <v/>
      </c>
      <c r="AI74" s="204" t="str">
        <f>IF($C74="","",VLOOKUP($AH74,'3-1.標準報酬月額・保険料表'!$N$8:$O$57,2,TRUE))</f>
        <v/>
      </c>
      <c r="AJ74" s="148"/>
      <c r="AK74" s="148"/>
      <c r="AL74" s="204">
        <f t="shared" ref="AL74:AL109" si="17">IF($AJ74+$AK74=0,0,AJ74+$AK74)</f>
        <v>0</v>
      </c>
    </row>
    <row r="75" spans="1:38" s="145" customFormat="1" ht="20.100000000000001" customHeight="1" x14ac:dyDescent="0.15">
      <c r="A75" s="146" t="str">
        <f t="shared" ref="A75:A109" si="18">IF(D75="","",A74+1)</f>
        <v/>
      </c>
      <c r="B75" s="325"/>
      <c r="C75" s="326"/>
      <c r="D75" s="327"/>
      <c r="E75" s="327"/>
      <c r="F75" s="328"/>
      <c r="G75" s="329"/>
      <c r="H75" s="329"/>
      <c r="I75" s="147" t="str">
        <f t="shared" si="11"/>
        <v/>
      </c>
      <c r="J75" s="147" t="str">
        <f t="shared" si="14"/>
        <v/>
      </c>
      <c r="K75" s="147" t="str">
        <f t="shared" si="15"/>
        <v/>
      </c>
      <c r="L75" s="147" t="str">
        <f t="shared" si="16"/>
        <v/>
      </c>
      <c r="M75" s="330"/>
      <c r="N75" s="331"/>
      <c r="O75" s="201" t="str">
        <f t="shared" ref="O75:O109" si="19">IF($C75="","",$M75*$N75)</f>
        <v/>
      </c>
      <c r="P75" s="202" t="str">
        <f t="shared" ref="P75:P109" si="20">IF($O75="","",365/7*$O75)</f>
        <v/>
      </c>
      <c r="Q75" s="332"/>
      <c r="R75" s="332"/>
      <c r="S75" s="332" t="str">
        <f t="shared" ref="S75:S109" si="21">IF($Q75="","",$Q75+$R75)</f>
        <v/>
      </c>
      <c r="T75" s="204" t="str">
        <f t="shared" ref="T75:T109" si="22">IF($Q75="","",$P75*$Q75)</f>
        <v/>
      </c>
      <c r="U75" s="343" t="str">
        <f t="shared" ref="U75:U109" si="23">IF($Q75="","",$T75/12)</f>
        <v/>
      </c>
      <c r="V75" s="350"/>
      <c r="W75" s="349"/>
      <c r="X75" s="345"/>
      <c r="Y75" s="330"/>
      <c r="Z75" s="330"/>
      <c r="AA75" s="330"/>
      <c r="AB75" s="330"/>
      <c r="AC75" s="330"/>
      <c r="AD75" s="349"/>
      <c r="AE75" s="356"/>
      <c r="AF75" s="532" t="str">
        <f t="shared" ref="AF75:AF109" si="24">IF($Q75="","",SUM($U75:$W75))</f>
        <v/>
      </c>
      <c r="AG75" s="530" t="str">
        <f t="shared" ref="AG75:AG109" si="25">IF($Q75="","",SUM($U75:$AD75))</f>
        <v/>
      </c>
      <c r="AH75" s="528" t="str">
        <f t="shared" ref="AH75:AH109" si="26">IF($Q75="","",SUM($U75:$AE75))</f>
        <v/>
      </c>
      <c r="AI75" s="204" t="str">
        <f>IF($C75="","",VLOOKUP($AH75,'3-1.標準報酬月額・保険料表'!$N$8:$O$57,2,TRUE))</f>
        <v/>
      </c>
      <c r="AJ75" s="148"/>
      <c r="AK75" s="148"/>
      <c r="AL75" s="204">
        <f t="shared" si="17"/>
        <v>0</v>
      </c>
    </row>
    <row r="76" spans="1:38" s="145" customFormat="1" ht="20.100000000000001" customHeight="1" x14ac:dyDescent="0.15">
      <c r="A76" s="146" t="str">
        <f t="shared" si="18"/>
        <v/>
      </c>
      <c r="B76" s="325"/>
      <c r="C76" s="326"/>
      <c r="D76" s="327"/>
      <c r="E76" s="327"/>
      <c r="F76" s="328"/>
      <c r="G76" s="329"/>
      <c r="H76" s="329"/>
      <c r="I76" s="147" t="str">
        <f t="shared" ref="I76:I109" si="27">IF(G76="","",DATEDIF(G76-1,$I$4,"Y"))</f>
        <v/>
      </c>
      <c r="J76" s="147" t="str">
        <f t="shared" si="14"/>
        <v/>
      </c>
      <c r="K76" s="147" t="str">
        <f t="shared" si="15"/>
        <v/>
      </c>
      <c r="L76" s="147" t="str">
        <f t="shared" si="16"/>
        <v/>
      </c>
      <c r="M76" s="330"/>
      <c r="N76" s="331"/>
      <c r="O76" s="201" t="str">
        <f t="shared" si="19"/>
        <v/>
      </c>
      <c r="P76" s="202" t="str">
        <f t="shared" si="20"/>
        <v/>
      </c>
      <c r="Q76" s="332"/>
      <c r="R76" s="332"/>
      <c r="S76" s="332" t="str">
        <f t="shared" si="21"/>
        <v/>
      </c>
      <c r="T76" s="204" t="str">
        <f t="shared" si="22"/>
        <v/>
      </c>
      <c r="U76" s="343" t="str">
        <f t="shared" si="23"/>
        <v/>
      </c>
      <c r="V76" s="350"/>
      <c r="W76" s="349"/>
      <c r="X76" s="345"/>
      <c r="Y76" s="330"/>
      <c r="Z76" s="330"/>
      <c r="AA76" s="330"/>
      <c r="AB76" s="330"/>
      <c r="AC76" s="330"/>
      <c r="AD76" s="349"/>
      <c r="AE76" s="356"/>
      <c r="AF76" s="532" t="str">
        <f t="shared" si="24"/>
        <v/>
      </c>
      <c r="AG76" s="530" t="str">
        <f t="shared" si="25"/>
        <v/>
      </c>
      <c r="AH76" s="528" t="str">
        <f t="shared" si="26"/>
        <v/>
      </c>
      <c r="AI76" s="204" t="str">
        <f>IF($C76="","",VLOOKUP($AH76,'3-1.標準報酬月額・保険料表'!$N$8:$O$57,2,TRUE))</f>
        <v/>
      </c>
      <c r="AJ76" s="148"/>
      <c r="AK76" s="148"/>
      <c r="AL76" s="204">
        <f t="shared" si="17"/>
        <v>0</v>
      </c>
    </row>
    <row r="77" spans="1:38" s="145" customFormat="1" ht="20.100000000000001" customHeight="1" x14ac:dyDescent="0.15">
      <c r="A77" s="146" t="str">
        <f t="shared" si="18"/>
        <v/>
      </c>
      <c r="B77" s="325"/>
      <c r="C77" s="326"/>
      <c r="D77" s="327"/>
      <c r="E77" s="327"/>
      <c r="F77" s="328"/>
      <c r="G77" s="329"/>
      <c r="H77" s="329"/>
      <c r="I77" s="147" t="str">
        <f t="shared" si="27"/>
        <v/>
      </c>
      <c r="J77" s="147" t="str">
        <f t="shared" si="14"/>
        <v/>
      </c>
      <c r="K77" s="147" t="str">
        <f t="shared" si="15"/>
        <v/>
      </c>
      <c r="L77" s="147" t="str">
        <f t="shared" si="16"/>
        <v/>
      </c>
      <c r="M77" s="330"/>
      <c r="N77" s="331"/>
      <c r="O77" s="201" t="str">
        <f t="shared" si="19"/>
        <v/>
      </c>
      <c r="P77" s="202" t="str">
        <f t="shared" si="20"/>
        <v/>
      </c>
      <c r="Q77" s="332"/>
      <c r="R77" s="332"/>
      <c r="S77" s="332" t="str">
        <f t="shared" si="21"/>
        <v/>
      </c>
      <c r="T77" s="204" t="str">
        <f t="shared" si="22"/>
        <v/>
      </c>
      <c r="U77" s="343" t="str">
        <f t="shared" si="23"/>
        <v/>
      </c>
      <c r="V77" s="350"/>
      <c r="W77" s="349"/>
      <c r="X77" s="345"/>
      <c r="Y77" s="330"/>
      <c r="Z77" s="330"/>
      <c r="AA77" s="330"/>
      <c r="AB77" s="330"/>
      <c r="AC77" s="330"/>
      <c r="AD77" s="349"/>
      <c r="AE77" s="356"/>
      <c r="AF77" s="532" t="str">
        <f t="shared" si="24"/>
        <v/>
      </c>
      <c r="AG77" s="530" t="str">
        <f t="shared" si="25"/>
        <v/>
      </c>
      <c r="AH77" s="528" t="str">
        <f t="shared" si="26"/>
        <v/>
      </c>
      <c r="AI77" s="204" t="str">
        <f>IF($C77="","",VLOOKUP($AH77,'3-1.標準報酬月額・保険料表'!$N$8:$O$57,2,TRUE))</f>
        <v/>
      </c>
      <c r="AJ77" s="148"/>
      <c r="AK77" s="148"/>
      <c r="AL77" s="204">
        <f t="shared" si="17"/>
        <v>0</v>
      </c>
    </row>
    <row r="78" spans="1:38" s="145" customFormat="1" ht="20.100000000000001" customHeight="1" x14ac:dyDescent="0.15">
      <c r="A78" s="146" t="str">
        <f t="shared" si="18"/>
        <v/>
      </c>
      <c r="B78" s="325"/>
      <c r="C78" s="326"/>
      <c r="D78" s="327"/>
      <c r="E78" s="327"/>
      <c r="F78" s="328"/>
      <c r="G78" s="329"/>
      <c r="H78" s="329"/>
      <c r="I78" s="147" t="str">
        <f t="shared" si="27"/>
        <v/>
      </c>
      <c r="J78" s="147" t="str">
        <f t="shared" si="14"/>
        <v/>
      </c>
      <c r="K78" s="147" t="str">
        <f t="shared" si="15"/>
        <v/>
      </c>
      <c r="L78" s="147" t="str">
        <f t="shared" si="16"/>
        <v/>
      </c>
      <c r="M78" s="330"/>
      <c r="N78" s="331"/>
      <c r="O78" s="201" t="str">
        <f t="shared" si="19"/>
        <v/>
      </c>
      <c r="P78" s="202" t="str">
        <f t="shared" si="20"/>
        <v/>
      </c>
      <c r="Q78" s="332"/>
      <c r="R78" s="332"/>
      <c r="S78" s="332" t="str">
        <f t="shared" si="21"/>
        <v/>
      </c>
      <c r="T78" s="204" t="str">
        <f t="shared" si="22"/>
        <v/>
      </c>
      <c r="U78" s="343" t="str">
        <f t="shared" si="23"/>
        <v/>
      </c>
      <c r="V78" s="350"/>
      <c r="W78" s="349"/>
      <c r="X78" s="345"/>
      <c r="Y78" s="330"/>
      <c r="Z78" s="330"/>
      <c r="AA78" s="330"/>
      <c r="AB78" s="330"/>
      <c r="AC78" s="330"/>
      <c r="AD78" s="349"/>
      <c r="AE78" s="356"/>
      <c r="AF78" s="532" t="str">
        <f t="shared" si="24"/>
        <v/>
      </c>
      <c r="AG78" s="530" t="str">
        <f t="shared" si="25"/>
        <v/>
      </c>
      <c r="AH78" s="528" t="str">
        <f t="shared" si="26"/>
        <v/>
      </c>
      <c r="AI78" s="204" t="str">
        <f>IF($C78="","",VLOOKUP($AH78,'3-1.標準報酬月額・保険料表'!$N$8:$O$57,2,TRUE))</f>
        <v/>
      </c>
      <c r="AJ78" s="148"/>
      <c r="AK78" s="148"/>
      <c r="AL78" s="204">
        <f t="shared" si="17"/>
        <v>0</v>
      </c>
    </row>
    <row r="79" spans="1:38" s="145" customFormat="1" ht="20.100000000000001" customHeight="1" x14ac:dyDescent="0.15">
      <c r="A79" s="146" t="str">
        <f t="shared" si="18"/>
        <v/>
      </c>
      <c r="B79" s="325"/>
      <c r="C79" s="326"/>
      <c r="D79" s="327"/>
      <c r="E79" s="327"/>
      <c r="F79" s="328"/>
      <c r="G79" s="329"/>
      <c r="H79" s="329"/>
      <c r="I79" s="147" t="str">
        <f t="shared" si="27"/>
        <v/>
      </c>
      <c r="J79" s="147" t="str">
        <f t="shared" si="14"/>
        <v/>
      </c>
      <c r="K79" s="147" t="str">
        <f t="shared" si="15"/>
        <v/>
      </c>
      <c r="L79" s="147" t="str">
        <f t="shared" si="16"/>
        <v/>
      </c>
      <c r="M79" s="330"/>
      <c r="N79" s="331"/>
      <c r="O79" s="201" t="str">
        <f t="shared" si="19"/>
        <v/>
      </c>
      <c r="P79" s="202" t="str">
        <f t="shared" si="20"/>
        <v/>
      </c>
      <c r="Q79" s="332"/>
      <c r="R79" s="332"/>
      <c r="S79" s="332" t="str">
        <f t="shared" si="21"/>
        <v/>
      </c>
      <c r="T79" s="204" t="str">
        <f t="shared" si="22"/>
        <v/>
      </c>
      <c r="U79" s="343" t="str">
        <f t="shared" si="23"/>
        <v/>
      </c>
      <c r="V79" s="350"/>
      <c r="W79" s="349"/>
      <c r="X79" s="345"/>
      <c r="Y79" s="330"/>
      <c r="Z79" s="330"/>
      <c r="AA79" s="330"/>
      <c r="AB79" s="330"/>
      <c r="AC79" s="330"/>
      <c r="AD79" s="349"/>
      <c r="AE79" s="356"/>
      <c r="AF79" s="532" t="str">
        <f t="shared" si="24"/>
        <v/>
      </c>
      <c r="AG79" s="530" t="str">
        <f t="shared" si="25"/>
        <v/>
      </c>
      <c r="AH79" s="528" t="str">
        <f t="shared" si="26"/>
        <v/>
      </c>
      <c r="AI79" s="204" t="str">
        <f>IF($C79="","",VLOOKUP($AH79,'3-1.標準報酬月額・保険料表'!$N$8:$O$57,2,TRUE))</f>
        <v/>
      </c>
      <c r="AJ79" s="148"/>
      <c r="AK79" s="148"/>
      <c r="AL79" s="204">
        <f t="shared" si="17"/>
        <v>0</v>
      </c>
    </row>
    <row r="80" spans="1:38" s="145" customFormat="1" ht="20.100000000000001" customHeight="1" x14ac:dyDescent="0.15">
      <c r="A80" s="146" t="str">
        <f t="shared" si="18"/>
        <v/>
      </c>
      <c r="B80" s="325"/>
      <c r="C80" s="326"/>
      <c r="D80" s="327"/>
      <c r="E80" s="327"/>
      <c r="F80" s="328"/>
      <c r="G80" s="329"/>
      <c r="H80" s="329"/>
      <c r="I80" s="147" t="str">
        <f t="shared" si="27"/>
        <v/>
      </c>
      <c r="J80" s="147" t="str">
        <f t="shared" si="14"/>
        <v/>
      </c>
      <c r="K80" s="147" t="str">
        <f t="shared" si="15"/>
        <v/>
      </c>
      <c r="L80" s="147" t="str">
        <f t="shared" si="16"/>
        <v/>
      </c>
      <c r="M80" s="330"/>
      <c r="N80" s="331"/>
      <c r="O80" s="201" t="str">
        <f t="shared" si="19"/>
        <v/>
      </c>
      <c r="P80" s="202" t="str">
        <f t="shared" si="20"/>
        <v/>
      </c>
      <c r="Q80" s="332"/>
      <c r="R80" s="332"/>
      <c r="S80" s="332" t="str">
        <f t="shared" si="21"/>
        <v/>
      </c>
      <c r="T80" s="204" t="str">
        <f t="shared" si="22"/>
        <v/>
      </c>
      <c r="U80" s="343" t="str">
        <f t="shared" si="23"/>
        <v/>
      </c>
      <c r="V80" s="350"/>
      <c r="W80" s="349"/>
      <c r="X80" s="345"/>
      <c r="Y80" s="330"/>
      <c r="Z80" s="330"/>
      <c r="AA80" s="330"/>
      <c r="AB80" s="330"/>
      <c r="AC80" s="330"/>
      <c r="AD80" s="349"/>
      <c r="AE80" s="356"/>
      <c r="AF80" s="532" t="str">
        <f t="shared" si="24"/>
        <v/>
      </c>
      <c r="AG80" s="530" t="str">
        <f t="shared" si="25"/>
        <v/>
      </c>
      <c r="AH80" s="528" t="str">
        <f t="shared" si="26"/>
        <v/>
      </c>
      <c r="AI80" s="204" t="str">
        <f>IF($C80="","",VLOOKUP($AH80,'3-1.標準報酬月額・保険料表'!$N$8:$O$57,2,TRUE))</f>
        <v/>
      </c>
      <c r="AJ80" s="148"/>
      <c r="AK80" s="148"/>
      <c r="AL80" s="204">
        <f t="shared" si="17"/>
        <v>0</v>
      </c>
    </row>
    <row r="81" spans="1:38" s="145" customFormat="1" ht="20.100000000000001" customHeight="1" x14ac:dyDescent="0.15">
      <c r="A81" s="146" t="str">
        <f t="shared" si="18"/>
        <v/>
      </c>
      <c r="B81" s="325"/>
      <c r="C81" s="326"/>
      <c r="D81" s="327"/>
      <c r="E81" s="327"/>
      <c r="F81" s="328"/>
      <c r="G81" s="329"/>
      <c r="H81" s="329"/>
      <c r="I81" s="147" t="str">
        <f t="shared" si="27"/>
        <v/>
      </c>
      <c r="J81" s="147" t="str">
        <f t="shared" si="14"/>
        <v/>
      </c>
      <c r="K81" s="147" t="str">
        <f t="shared" si="15"/>
        <v/>
      </c>
      <c r="L81" s="147" t="str">
        <f t="shared" si="16"/>
        <v/>
      </c>
      <c r="M81" s="330"/>
      <c r="N81" s="331"/>
      <c r="O81" s="201" t="str">
        <f t="shared" si="19"/>
        <v/>
      </c>
      <c r="P81" s="202" t="str">
        <f t="shared" si="20"/>
        <v/>
      </c>
      <c r="Q81" s="332"/>
      <c r="R81" s="332"/>
      <c r="S81" s="332" t="str">
        <f t="shared" si="21"/>
        <v/>
      </c>
      <c r="T81" s="204" t="str">
        <f t="shared" si="22"/>
        <v/>
      </c>
      <c r="U81" s="343" t="str">
        <f t="shared" si="23"/>
        <v/>
      </c>
      <c r="V81" s="350"/>
      <c r="W81" s="349"/>
      <c r="X81" s="345"/>
      <c r="Y81" s="330"/>
      <c r="Z81" s="330"/>
      <c r="AA81" s="330"/>
      <c r="AB81" s="330"/>
      <c r="AC81" s="330"/>
      <c r="AD81" s="349"/>
      <c r="AE81" s="356"/>
      <c r="AF81" s="532" t="str">
        <f t="shared" si="24"/>
        <v/>
      </c>
      <c r="AG81" s="530" t="str">
        <f t="shared" si="25"/>
        <v/>
      </c>
      <c r="AH81" s="528" t="str">
        <f t="shared" si="26"/>
        <v/>
      </c>
      <c r="AI81" s="204" t="str">
        <f>IF($C81="","",VLOOKUP($AH81,'3-1.標準報酬月額・保険料表'!$N$8:$O$57,2,TRUE))</f>
        <v/>
      </c>
      <c r="AJ81" s="148"/>
      <c r="AK81" s="148"/>
      <c r="AL81" s="204">
        <f t="shared" si="17"/>
        <v>0</v>
      </c>
    </row>
    <row r="82" spans="1:38" s="145" customFormat="1" ht="20.100000000000001" customHeight="1" x14ac:dyDescent="0.15">
      <c r="A82" s="146" t="str">
        <f t="shared" si="18"/>
        <v/>
      </c>
      <c r="B82" s="325"/>
      <c r="C82" s="326"/>
      <c r="D82" s="327"/>
      <c r="E82" s="327"/>
      <c r="F82" s="328"/>
      <c r="G82" s="329"/>
      <c r="H82" s="329"/>
      <c r="I82" s="147" t="str">
        <f t="shared" si="27"/>
        <v/>
      </c>
      <c r="J82" s="147" t="str">
        <f t="shared" si="14"/>
        <v/>
      </c>
      <c r="K82" s="147" t="str">
        <f t="shared" si="15"/>
        <v/>
      </c>
      <c r="L82" s="147" t="str">
        <f t="shared" si="16"/>
        <v/>
      </c>
      <c r="M82" s="330"/>
      <c r="N82" s="331"/>
      <c r="O82" s="201" t="str">
        <f t="shared" si="19"/>
        <v/>
      </c>
      <c r="P82" s="202" t="str">
        <f t="shared" si="20"/>
        <v/>
      </c>
      <c r="Q82" s="332"/>
      <c r="R82" s="332"/>
      <c r="S82" s="332" t="str">
        <f t="shared" si="21"/>
        <v/>
      </c>
      <c r="T82" s="204" t="str">
        <f t="shared" si="22"/>
        <v/>
      </c>
      <c r="U82" s="343" t="str">
        <f t="shared" si="23"/>
        <v/>
      </c>
      <c r="V82" s="350"/>
      <c r="W82" s="349"/>
      <c r="X82" s="345"/>
      <c r="Y82" s="330"/>
      <c r="Z82" s="330"/>
      <c r="AA82" s="330"/>
      <c r="AB82" s="330"/>
      <c r="AC82" s="330"/>
      <c r="AD82" s="349"/>
      <c r="AE82" s="356"/>
      <c r="AF82" s="532" t="str">
        <f t="shared" si="24"/>
        <v/>
      </c>
      <c r="AG82" s="530" t="str">
        <f t="shared" si="25"/>
        <v/>
      </c>
      <c r="AH82" s="528" t="str">
        <f t="shared" si="26"/>
        <v/>
      </c>
      <c r="AI82" s="204" t="str">
        <f>IF($C82="","",VLOOKUP($AH82,'3-1.標準報酬月額・保険料表'!$N$8:$O$57,2,TRUE))</f>
        <v/>
      </c>
      <c r="AJ82" s="148"/>
      <c r="AK82" s="148"/>
      <c r="AL82" s="204">
        <f t="shared" si="17"/>
        <v>0</v>
      </c>
    </row>
    <row r="83" spans="1:38" s="145" customFormat="1" ht="20.100000000000001" customHeight="1" x14ac:dyDescent="0.15">
      <c r="A83" s="146" t="str">
        <f t="shared" si="18"/>
        <v/>
      </c>
      <c r="B83" s="325"/>
      <c r="C83" s="326"/>
      <c r="D83" s="327"/>
      <c r="E83" s="327"/>
      <c r="F83" s="328"/>
      <c r="G83" s="329"/>
      <c r="H83" s="329"/>
      <c r="I83" s="147" t="str">
        <f t="shared" si="27"/>
        <v/>
      </c>
      <c r="J83" s="147" t="str">
        <f t="shared" si="14"/>
        <v/>
      </c>
      <c r="K83" s="147" t="str">
        <f t="shared" si="15"/>
        <v/>
      </c>
      <c r="L83" s="147" t="str">
        <f t="shared" si="16"/>
        <v/>
      </c>
      <c r="M83" s="330"/>
      <c r="N83" s="331"/>
      <c r="O83" s="201" t="str">
        <f t="shared" si="19"/>
        <v/>
      </c>
      <c r="P83" s="202" t="str">
        <f t="shared" si="20"/>
        <v/>
      </c>
      <c r="Q83" s="332"/>
      <c r="R83" s="332"/>
      <c r="S83" s="332" t="str">
        <f t="shared" si="21"/>
        <v/>
      </c>
      <c r="T83" s="204" t="str">
        <f t="shared" si="22"/>
        <v/>
      </c>
      <c r="U83" s="343" t="str">
        <f t="shared" si="23"/>
        <v/>
      </c>
      <c r="V83" s="350"/>
      <c r="W83" s="349"/>
      <c r="X83" s="345"/>
      <c r="Y83" s="330"/>
      <c r="Z83" s="330"/>
      <c r="AA83" s="330"/>
      <c r="AB83" s="330"/>
      <c r="AC83" s="330"/>
      <c r="AD83" s="349"/>
      <c r="AE83" s="356"/>
      <c r="AF83" s="532" t="str">
        <f t="shared" si="24"/>
        <v/>
      </c>
      <c r="AG83" s="530" t="str">
        <f t="shared" si="25"/>
        <v/>
      </c>
      <c r="AH83" s="528" t="str">
        <f t="shared" si="26"/>
        <v/>
      </c>
      <c r="AI83" s="204" t="str">
        <f>IF($C83="","",VLOOKUP($AH83,'3-1.標準報酬月額・保険料表'!$N$8:$O$57,2,TRUE))</f>
        <v/>
      </c>
      <c r="AJ83" s="148"/>
      <c r="AK83" s="148"/>
      <c r="AL83" s="204">
        <f t="shared" si="17"/>
        <v>0</v>
      </c>
    </row>
    <row r="84" spans="1:38" s="145" customFormat="1" ht="20.100000000000001" customHeight="1" x14ac:dyDescent="0.15">
      <c r="A84" s="146" t="str">
        <f t="shared" si="18"/>
        <v/>
      </c>
      <c r="B84" s="325"/>
      <c r="C84" s="326"/>
      <c r="D84" s="327"/>
      <c r="E84" s="327"/>
      <c r="F84" s="328"/>
      <c r="G84" s="329"/>
      <c r="H84" s="329"/>
      <c r="I84" s="147" t="str">
        <f t="shared" si="27"/>
        <v/>
      </c>
      <c r="J84" s="147" t="str">
        <f t="shared" si="14"/>
        <v/>
      </c>
      <c r="K84" s="147" t="str">
        <f t="shared" si="15"/>
        <v/>
      </c>
      <c r="L84" s="147" t="str">
        <f t="shared" si="16"/>
        <v/>
      </c>
      <c r="M84" s="330"/>
      <c r="N84" s="331"/>
      <c r="O84" s="201" t="str">
        <f t="shared" si="19"/>
        <v/>
      </c>
      <c r="P84" s="202" t="str">
        <f t="shared" si="20"/>
        <v/>
      </c>
      <c r="Q84" s="332"/>
      <c r="R84" s="332"/>
      <c r="S84" s="332" t="str">
        <f t="shared" si="21"/>
        <v/>
      </c>
      <c r="T84" s="204" t="str">
        <f t="shared" si="22"/>
        <v/>
      </c>
      <c r="U84" s="343" t="str">
        <f t="shared" si="23"/>
        <v/>
      </c>
      <c r="V84" s="350"/>
      <c r="W84" s="349"/>
      <c r="X84" s="345"/>
      <c r="Y84" s="330"/>
      <c r="Z84" s="330"/>
      <c r="AA84" s="330"/>
      <c r="AB84" s="330"/>
      <c r="AC84" s="330"/>
      <c r="AD84" s="349"/>
      <c r="AE84" s="356"/>
      <c r="AF84" s="532" t="str">
        <f t="shared" si="24"/>
        <v/>
      </c>
      <c r="AG84" s="530" t="str">
        <f t="shared" si="25"/>
        <v/>
      </c>
      <c r="AH84" s="528" t="str">
        <f t="shared" si="26"/>
        <v/>
      </c>
      <c r="AI84" s="204" t="str">
        <f>IF($C84="","",VLOOKUP($AH84,'3-1.標準報酬月額・保険料表'!$N$8:$O$57,2,TRUE))</f>
        <v/>
      </c>
      <c r="AJ84" s="148"/>
      <c r="AK84" s="148"/>
      <c r="AL84" s="204">
        <f t="shared" si="17"/>
        <v>0</v>
      </c>
    </row>
    <row r="85" spans="1:38" s="145" customFormat="1" ht="20.100000000000001" customHeight="1" x14ac:dyDescent="0.15">
      <c r="A85" s="146" t="str">
        <f t="shared" si="18"/>
        <v/>
      </c>
      <c r="B85" s="325"/>
      <c r="C85" s="326"/>
      <c r="D85" s="327"/>
      <c r="E85" s="327"/>
      <c r="F85" s="328"/>
      <c r="G85" s="329"/>
      <c r="H85" s="329"/>
      <c r="I85" s="147" t="str">
        <f t="shared" si="27"/>
        <v/>
      </c>
      <c r="J85" s="147" t="str">
        <f t="shared" si="14"/>
        <v/>
      </c>
      <c r="K85" s="147" t="str">
        <f t="shared" si="15"/>
        <v/>
      </c>
      <c r="L85" s="147" t="str">
        <f t="shared" si="16"/>
        <v/>
      </c>
      <c r="M85" s="330"/>
      <c r="N85" s="331"/>
      <c r="O85" s="201" t="str">
        <f t="shared" si="19"/>
        <v/>
      </c>
      <c r="P85" s="202" t="str">
        <f t="shared" si="20"/>
        <v/>
      </c>
      <c r="Q85" s="332"/>
      <c r="R85" s="332"/>
      <c r="S85" s="332" t="str">
        <f t="shared" si="21"/>
        <v/>
      </c>
      <c r="T85" s="204" t="str">
        <f t="shared" si="22"/>
        <v/>
      </c>
      <c r="U85" s="343" t="str">
        <f t="shared" si="23"/>
        <v/>
      </c>
      <c r="V85" s="350"/>
      <c r="W85" s="349"/>
      <c r="X85" s="345"/>
      <c r="Y85" s="330"/>
      <c r="Z85" s="330"/>
      <c r="AA85" s="330"/>
      <c r="AB85" s="330"/>
      <c r="AC85" s="330"/>
      <c r="AD85" s="349"/>
      <c r="AE85" s="356"/>
      <c r="AF85" s="532" t="str">
        <f t="shared" si="24"/>
        <v/>
      </c>
      <c r="AG85" s="530" t="str">
        <f t="shared" si="25"/>
        <v/>
      </c>
      <c r="AH85" s="528" t="str">
        <f t="shared" si="26"/>
        <v/>
      </c>
      <c r="AI85" s="204" t="str">
        <f>IF($C85="","",VLOOKUP($AH85,'3-1.標準報酬月額・保険料表'!$N$8:$O$57,2,TRUE))</f>
        <v/>
      </c>
      <c r="AJ85" s="148"/>
      <c r="AK85" s="148"/>
      <c r="AL85" s="204">
        <f t="shared" si="17"/>
        <v>0</v>
      </c>
    </row>
    <row r="86" spans="1:38" s="145" customFormat="1" ht="20.100000000000001" customHeight="1" x14ac:dyDescent="0.15">
      <c r="A86" s="146" t="str">
        <f t="shared" si="18"/>
        <v/>
      </c>
      <c r="B86" s="325"/>
      <c r="C86" s="326"/>
      <c r="D86" s="327"/>
      <c r="E86" s="327"/>
      <c r="F86" s="328"/>
      <c r="G86" s="329"/>
      <c r="H86" s="329"/>
      <c r="I86" s="147" t="str">
        <f t="shared" si="27"/>
        <v/>
      </c>
      <c r="J86" s="147" t="str">
        <f t="shared" si="14"/>
        <v/>
      </c>
      <c r="K86" s="147" t="str">
        <f t="shared" si="15"/>
        <v/>
      </c>
      <c r="L86" s="147" t="str">
        <f t="shared" si="16"/>
        <v/>
      </c>
      <c r="M86" s="330"/>
      <c r="N86" s="331"/>
      <c r="O86" s="201" t="str">
        <f t="shared" si="19"/>
        <v/>
      </c>
      <c r="P86" s="202" t="str">
        <f t="shared" si="20"/>
        <v/>
      </c>
      <c r="Q86" s="332"/>
      <c r="R86" s="332"/>
      <c r="S86" s="332" t="str">
        <f t="shared" si="21"/>
        <v/>
      </c>
      <c r="T86" s="204" t="str">
        <f t="shared" si="22"/>
        <v/>
      </c>
      <c r="U86" s="343" t="str">
        <f t="shared" si="23"/>
        <v/>
      </c>
      <c r="V86" s="350"/>
      <c r="W86" s="349"/>
      <c r="X86" s="345"/>
      <c r="Y86" s="330"/>
      <c r="Z86" s="330"/>
      <c r="AA86" s="330"/>
      <c r="AB86" s="330"/>
      <c r="AC86" s="330"/>
      <c r="AD86" s="349"/>
      <c r="AE86" s="356"/>
      <c r="AF86" s="532" t="str">
        <f t="shared" si="24"/>
        <v/>
      </c>
      <c r="AG86" s="530" t="str">
        <f t="shared" si="25"/>
        <v/>
      </c>
      <c r="AH86" s="528" t="str">
        <f t="shared" si="26"/>
        <v/>
      </c>
      <c r="AI86" s="204" t="str">
        <f>IF($C86="","",VLOOKUP($AH86,'3-1.標準報酬月額・保険料表'!$N$8:$O$57,2,TRUE))</f>
        <v/>
      </c>
      <c r="AJ86" s="148"/>
      <c r="AK86" s="148"/>
      <c r="AL86" s="204">
        <f t="shared" si="17"/>
        <v>0</v>
      </c>
    </row>
    <row r="87" spans="1:38" s="145" customFormat="1" ht="20.100000000000001" customHeight="1" x14ac:dyDescent="0.15">
      <c r="A87" s="146" t="str">
        <f t="shared" si="18"/>
        <v/>
      </c>
      <c r="B87" s="325"/>
      <c r="C87" s="326"/>
      <c r="D87" s="327"/>
      <c r="E87" s="327"/>
      <c r="F87" s="328"/>
      <c r="G87" s="329"/>
      <c r="H87" s="329"/>
      <c r="I87" s="147" t="str">
        <f t="shared" si="27"/>
        <v/>
      </c>
      <c r="J87" s="147" t="str">
        <f t="shared" si="14"/>
        <v/>
      </c>
      <c r="K87" s="147" t="str">
        <f t="shared" si="15"/>
        <v/>
      </c>
      <c r="L87" s="147" t="str">
        <f t="shared" si="16"/>
        <v/>
      </c>
      <c r="M87" s="330"/>
      <c r="N87" s="331"/>
      <c r="O87" s="201" t="str">
        <f t="shared" si="19"/>
        <v/>
      </c>
      <c r="P87" s="202" t="str">
        <f t="shared" si="20"/>
        <v/>
      </c>
      <c r="Q87" s="332"/>
      <c r="R87" s="332"/>
      <c r="S87" s="332" t="str">
        <f t="shared" si="21"/>
        <v/>
      </c>
      <c r="T87" s="204" t="str">
        <f t="shared" si="22"/>
        <v/>
      </c>
      <c r="U87" s="343" t="str">
        <f t="shared" si="23"/>
        <v/>
      </c>
      <c r="V87" s="350"/>
      <c r="W87" s="349"/>
      <c r="X87" s="345"/>
      <c r="Y87" s="330"/>
      <c r="Z87" s="330"/>
      <c r="AA87" s="330"/>
      <c r="AB87" s="330"/>
      <c r="AC87" s="330"/>
      <c r="AD87" s="349"/>
      <c r="AE87" s="356"/>
      <c r="AF87" s="532" t="str">
        <f t="shared" si="24"/>
        <v/>
      </c>
      <c r="AG87" s="530" t="str">
        <f t="shared" si="25"/>
        <v/>
      </c>
      <c r="AH87" s="528" t="str">
        <f t="shared" si="26"/>
        <v/>
      </c>
      <c r="AI87" s="204" t="str">
        <f>IF($C87="","",VLOOKUP($AH87,'3-1.標準報酬月額・保険料表'!$N$8:$O$57,2,TRUE))</f>
        <v/>
      </c>
      <c r="AJ87" s="148"/>
      <c r="AK87" s="148"/>
      <c r="AL87" s="204">
        <f t="shared" si="17"/>
        <v>0</v>
      </c>
    </row>
    <row r="88" spans="1:38" s="145" customFormat="1" ht="20.100000000000001" customHeight="1" x14ac:dyDescent="0.15">
      <c r="A88" s="146" t="str">
        <f t="shared" si="18"/>
        <v/>
      </c>
      <c r="B88" s="325"/>
      <c r="C88" s="326"/>
      <c r="D88" s="327"/>
      <c r="E88" s="327"/>
      <c r="F88" s="328"/>
      <c r="G88" s="329"/>
      <c r="H88" s="329"/>
      <c r="I88" s="147" t="str">
        <f t="shared" si="27"/>
        <v/>
      </c>
      <c r="J88" s="147" t="str">
        <f t="shared" si="14"/>
        <v/>
      </c>
      <c r="K88" s="147" t="str">
        <f t="shared" si="15"/>
        <v/>
      </c>
      <c r="L88" s="147" t="str">
        <f t="shared" si="16"/>
        <v/>
      </c>
      <c r="M88" s="330"/>
      <c r="N88" s="331"/>
      <c r="O88" s="201" t="str">
        <f t="shared" si="19"/>
        <v/>
      </c>
      <c r="P88" s="202" t="str">
        <f t="shared" si="20"/>
        <v/>
      </c>
      <c r="Q88" s="332"/>
      <c r="R88" s="332"/>
      <c r="S88" s="332" t="str">
        <f t="shared" si="21"/>
        <v/>
      </c>
      <c r="T88" s="204" t="str">
        <f t="shared" si="22"/>
        <v/>
      </c>
      <c r="U88" s="343" t="str">
        <f t="shared" si="23"/>
        <v/>
      </c>
      <c r="V88" s="350"/>
      <c r="W88" s="349"/>
      <c r="X88" s="345"/>
      <c r="Y88" s="330"/>
      <c r="Z88" s="330"/>
      <c r="AA88" s="330"/>
      <c r="AB88" s="330"/>
      <c r="AC88" s="330"/>
      <c r="AD88" s="349"/>
      <c r="AE88" s="356"/>
      <c r="AF88" s="532" t="str">
        <f t="shared" si="24"/>
        <v/>
      </c>
      <c r="AG88" s="530" t="str">
        <f t="shared" si="25"/>
        <v/>
      </c>
      <c r="AH88" s="528" t="str">
        <f t="shared" si="26"/>
        <v/>
      </c>
      <c r="AI88" s="204" t="str">
        <f>IF($C88="","",VLOOKUP($AH88,'3-1.標準報酬月額・保険料表'!$N$8:$O$57,2,TRUE))</f>
        <v/>
      </c>
      <c r="AJ88" s="148"/>
      <c r="AK88" s="148"/>
      <c r="AL88" s="204">
        <f t="shared" si="17"/>
        <v>0</v>
      </c>
    </row>
    <row r="89" spans="1:38" s="145" customFormat="1" ht="20.100000000000001" customHeight="1" x14ac:dyDescent="0.15">
      <c r="A89" s="146" t="str">
        <f t="shared" si="18"/>
        <v/>
      </c>
      <c r="B89" s="325"/>
      <c r="C89" s="326"/>
      <c r="D89" s="327"/>
      <c r="E89" s="327"/>
      <c r="F89" s="328"/>
      <c r="G89" s="329"/>
      <c r="H89" s="329"/>
      <c r="I89" s="147" t="str">
        <f t="shared" si="27"/>
        <v/>
      </c>
      <c r="J89" s="147" t="str">
        <f t="shared" si="14"/>
        <v/>
      </c>
      <c r="K89" s="147" t="str">
        <f t="shared" si="15"/>
        <v/>
      </c>
      <c r="L89" s="147" t="str">
        <f t="shared" si="16"/>
        <v/>
      </c>
      <c r="M89" s="330"/>
      <c r="N89" s="331"/>
      <c r="O89" s="201" t="str">
        <f t="shared" si="19"/>
        <v/>
      </c>
      <c r="P89" s="202" t="str">
        <f t="shared" si="20"/>
        <v/>
      </c>
      <c r="Q89" s="332"/>
      <c r="R89" s="332"/>
      <c r="S89" s="332" t="str">
        <f t="shared" si="21"/>
        <v/>
      </c>
      <c r="T89" s="204" t="str">
        <f t="shared" si="22"/>
        <v/>
      </c>
      <c r="U89" s="343" t="str">
        <f t="shared" si="23"/>
        <v/>
      </c>
      <c r="V89" s="350"/>
      <c r="W89" s="349"/>
      <c r="X89" s="345"/>
      <c r="Y89" s="330"/>
      <c r="Z89" s="330"/>
      <c r="AA89" s="330"/>
      <c r="AB89" s="330"/>
      <c r="AC89" s="330"/>
      <c r="AD89" s="349"/>
      <c r="AE89" s="356"/>
      <c r="AF89" s="532" t="str">
        <f t="shared" si="24"/>
        <v/>
      </c>
      <c r="AG89" s="530" t="str">
        <f t="shared" si="25"/>
        <v/>
      </c>
      <c r="AH89" s="528" t="str">
        <f t="shared" si="26"/>
        <v/>
      </c>
      <c r="AI89" s="204" t="str">
        <f>IF($C89="","",VLOOKUP($AH89,'3-1.標準報酬月額・保険料表'!$N$8:$O$57,2,TRUE))</f>
        <v/>
      </c>
      <c r="AJ89" s="148"/>
      <c r="AK89" s="148"/>
      <c r="AL89" s="204">
        <f t="shared" si="17"/>
        <v>0</v>
      </c>
    </row>
    <row r="90" spans="1:38" s="145" customFormat="1" ht="20.100000000000001" customHeight="1" x14ac:dyDescent="0.15">
      <c r="A90" s="146" t="str">
        <f t="shared" si="18"/>
        <v/>
      </c>
      <c r="B90" s="325"/>
      <c r="C90" s="326"/>
      <c r="D90" s="327"/>
      <c r="E90" s="327"/>
      <c r="F90" s="328"/>
      <c r="G90" s="329"/>
      <c r="H90" s="329"/>
      <c r="I90" s="147" t="str">
        <f t="shared" si="27"/>
        <v/>
      </c>
      <c r="J90" s="147" t="str">
        <f t="shared" si="14"/>
        <v/>
      </c>
      <c r="K90" s="147" t="str">
        <f t="shared" si="15"/>
        <v/>
      </c>
      <c r="L90" s="147" t="str">
        <f t="shared" si="16"/>
        <v/>
      </c>
      <c r="M90" s="330"/>
      <c r="N90" s="331"/>
      <c r="O90" s="201" t="str">
        <f t="shared" si="19"/>
        <v/>
      </c>
      <c r="P90" s="202" t="str">
        <f t="shared" si="20"/>
        <v/>
      </c>
      <c r="Q90" s="332"/>
      <c r="R90" s="332"/>
      <c r="S90" s="332" t="str">
        <f t="shared" si="21"/>
        <v/>
      </c>
      <c r="T90" s="204" t="str">
        <f t="shared" si="22"/>
        <v/>
      </c>
      <c r="U90" s="343" t="str">
        <f t="shared" si="23"/>
        <v/>
      </c>
      <c r="V90" s="350"/>
      <c r="W90" s="349"/>
      <c r="X90" s="345"/>
      <c r="Y90" s="330"/>
      <c r="Z90" s="330"/>
      <c r="AA90" s="330"/>
      <c r="AB90" s="330"/>
      <c r="AC90" s="330"/>
      <c r="AD90" s="349"/>
      <c r="AE90" s="356"/>
      <c r="AF90" s="532" t="str">
        <f t="shared" si="24"/>
        <v/>
      </c>
      <c r="AG90" s="530" t="str">
        <f t="shared" si="25"/>
        <v/>
      </c>
      <c r="AH90" s="528" t="str">
        <f t="shared" si="26"/>
        <v/>
      </c>
      <c r="AI90" s="204" t="str">
        <f>IF($C90="","",VLOOKUP($AH90,'3-1.標準報酬月額・保険料表'!$N$8:$O$57,2,TRUE))</f>
        <v/>
      </c>
      <c r="AJ90" s="148"/>
      <c r="AK90" s="148"/>
      <c r="AL90" s="204">
        <f t="shared" si="17"/>
        <v>0</v>
      </c>
    </row>
    <row r="91" spans="1:38" s="145" customFormat="1" ht="20.100000000000001" customHeight="1" x14ac:dyDescent="0.15">
      <c r="A91" s="146" t="str">
        <f t="shared" si="18"/>
        <v/>
      </c>
      <c r="B91" s="325"/>
      <c r="C91" s="326"/>
      <c r="D91" s="327"/>
      <c r="E91" s="327"/>
      <c r="F91" s="328"/>
      <c r="G91" s="329"/>
      <c r="H91" s="329"/>
      <c r="I91" s="147" t="str">
        <f t="shared" si="27"/>
        <v/>
      </c>
      <c r="J91" s="147" t="str">
        <f t="shared" si="14"/>
        <v/>
      </c>
      <c r="K91" s="147" t="str">
        <f t="shared" si="15"/>
        <v/>
      </c>
      <c r="L91" s="147" t="str">
        <f t="shared" si="16"/>
        <v/>
      </c>
      <c r="M91" s="330"/>
      <c r="N91" s="331"/>
      <c r="O91" s="201" t="str">
        <f t="shared" si="19"/>
        <v/>
      </c>
      <c r="P91" s="202" t="str">
        <f t="shared" si="20"/>
        <v/>
      </c>
      <c r="Q91" s="332"/>
      <c r="R91" s="332"/>
      <c r="S91" s="332" t="str">
        <f t="shared" si="21"/>
        <v/>
      </c>
      <c r="T91" s="204" t="str">
        <f t="shared" si="22"/>
        <v/>
      </c>
      <c r="U91" s="343" t="str">
        <f t="shared" si="23"/>
        <v/>
      </c>
      <c r="V91" s="350"/>
      <c r="W91" s="349"/>
      <c r="X91" s="345"/>
      <c r="Y91" s="330"/>
      <c r="Z91" s="330"/>
      <c r="AA91" s="330"/>
      <c r="AB91" s="330"/>
      <c r="AC91" s="330"/>
      <c r="AD91" s="349"/>
      <c r="AE91" s="356"/>
      <c r="AF91" s="532" t="str">
        <f t="shared" si="24"/>
        <v/>
      </c>
      <c r="AG91" s="530" t="str">
        <f t="shared" si="25"/>
        <v/>
      </c>
      <c r="AH91" s="528" t="str">
        <f t="shared" si="26"/>
        <v/>
      </c>
      <c r="AI91" s="204" t="str">
        <f>IF($C91="","",VLOOKUP($AH91,'3-1.標準報酬月額・保険料表'!$N$8:$O$57,2,TRUE))</f>
        <v/>
      </c>
      <c r="AJ91" s="148"/>
      <c r="AK91" s="148"/>
      <c r="AL91" s="204">
        <f t="shared" si="17"/>
        <v>0</v>
      </c>
    </row>
    <row r="92" spans="1:38" s="145" customFormat="1" ht="20.100000000000001" customHeight="1" x14ac:dyDescent="0.15">
      <c r="A92" s="146" t="str">
        <f t="shared" si="18"/>
        <v/>
      </c>
      <c r="B92" s="325"/>
      <c r="C92" s="326"/>
      <c r="D92" s="327"/>
      <c r="E92" s="327"/>
      <c r="F92" s="328"/>
      <c r="G92" s="329"/>
      <c r="H92" s="329"/>
      <c r="I92" s="147" t="str">
        <f t="shared" si="27"/>
        <v/>
      </c>
      <c r="J92" s="147" t="str">
        <f t="shared" si="14"/>
        <v/>
      </c>
      <c r="K92" s="147" t="str">
        <f t="shared" si="15"/>
        <v/>
      </c>
      <c r="L92" s="147" t="str">
        <f t="shared" si="16"/>
        <v/>
      </c>
      <c r="M92" s="330"/>
      <c r="N92" s="331"/>
      <c r="O92" s="201" t="str">
        <f t="shared" si="19"/>
        <v/>
      </c>
      <c r="P92" s="202" t="str">
        <f t="shared" si="20"/>
        <v/>
      </c>
      <c r="Q92" s="332"/>
      <c r="R92" s="332"/>
      <c r="S92" s="332" t="str">
        <f t="shared" si="21"/>
        <v/>
      </c>
      <c r="T92" s="204" t="str">
        <f t="shared" si="22"/>
        <v/>
      </c>
      <c r="U92" s="343" t="str">
        <f t="shared" si="23"/>
        <v/>
      </c>
      <c r="V92" s="350"/>
      <c r="W92" s="349"/>
      <c r="X92" s="345"/>
      <c r="Y92" s="330"/>
      <c r="Z92" s="330"/>
      <c r="AA92" s="330"/>
      <c r="AB92" s="330"/>
      <c r="AC92" s="330"/>
      <c r="AD92" s="349"/>
      <c r="AE92" s="356"/>
      <c r="AF92" s="532" t="str">
        <f t="shared" si="24"/>
        <v/>
      </c>
      <c r="AG92" s="530" t="str">
        <f t="shared" si="25"/>
        <v/>
      </c>
      <c r="AH92" s="528" t="str">
        <f t="shared" si="26"/>
        <v/>
      </c>
      <c r="AI92" s="204" t="str">
        <f>IF($C92="","",VLOOKUP($AH92,'3-1.標準報酬月額・保険料表'!$N$8:$O$57,2,TRUE))</f>
        <v/>
      </c>
      <c r="AJ92" s="148"/>
      <c r="AK92" s="148"/>
      <c r="AL92" s="204">
        <f t="shared" si="17"/>
        <v>0</v>
      </c>
    </row>
    <row r="93" spans="1:38" s="145" customFormat="1" ht="20.100000000000001" customHeight="1" x14ac:dyDescent="0.15">
      <c r="A93" s="146" t="str">
        <f t="shared" si="18"/>
        <v/>
      </c>
      <c r="B93" s="325"/>
      <c r="C93" s="326"/>
      <c r="D93" s="327"/>
      <c r="E93" s="327"/>
      <c r="F93" s="328"/>
      <c r="G93" s="329"/>
      <c r="H93" s="329"/>
      <c r="I93" s="147" t="str">
        <f t="shared" si="27"/>
        <v/>
      </c>
      <c r="J93" s="147" t="str">
        <f t="shared" si="14"/>
        <v/>
      </c>
      <c r="K93" s="147" t="str">
        <f t="shared" si="15"/>
        <v/>
      </c>
      <c r="L93" s="147" t="str">
        <f t="shared" si="16"/>
        <v/>
      </c>
      <c r="M93" s="330"/>
      <c r="N93" s="331"/>
      <c r="O93" s="201" t="str">
        <f t="shared" si="19"/>
        <v/>
      </c>
      <c r="P93" s="202" t="str">
        <f t="shared" si="20"/>
        <v/>
      </c>
      <c r="Q93" s="332"/>
      <c r="R93" s="332"/>
      <c r="S93" s="332" t="str">
        <f t="shared" si="21"/>
        <v/>
      </c>
      <c r="T93" s="204" t="str">
        <f t="shared" si="22"/>
        <v/>
      </c>
      <c r="U93" s="343" t="str">
        <f t="shared" si="23"/>
        <v/>
      </c>
      <c r="V93" s="350"/>
      <c r="W93" s="349"/>
      <c r="X93" s="345"/>
      <c r="Y93" s="330"/>
      <c r="Z93" s="330"/>
      <c r="AA93" s="330"/>
      <c r="AB93" s="330"/>
      <c r="AC93" s="330"/>
      <c r="AD93" s="349"/>
      <c r="AE93" s="356"/>
      <c r="AF93" s="532" t="str">
        <f t="shared" si="24"/>
        <v/>
      </c>
      <c r="AG93" s="530" t="str">
        <f t="shared" si="25"/>
        <v/>
      </c>
      <c r="AH93" s="528" t="str">
        <f t="shared" si="26"/>
        <v/>
      </c>
      <c r="AI93" s="204" t="str">
        <f>IF($C93="","",VLOOKUP($AH93,'3-1.標準報酬月額・保険料表'!$N$8:$O$57,2,TRUE))</f>
        <v/>
      </c>
      <c r="AJ93" s="148"/>
      <c r="AK93" s="148"/>
      <c r="AL93" s="204">
        <f t="shared" si="17"/>
        <v>0</v>
      </c>
    </row>
    <row r="94" spans="1:38" s="145" customFormat="1" ht="20.100000000000001" customHeight="1" x14ac:dyDescent="0.15">
      <c r="A94" s="146" t="str">
        <f t="shared" si="18"/>
        <v/>
      </c>
      <c r="B94" s="325"/>
      <c r="C94" s="326"/>
      <c r="D94" s="327"/>
      <c r="E94" s="327"/>
      <c r="F94" s="328"/>
      <c r="G94" s="329"/>
      <c r="H94" s="329"/>
      <c r="I94" s="147" t="str">
        <f t="shared" si="27"/>
        <v/>
      </c>
      <c r="J94" s="147" t="str">
        <f t="shared" si="14"/>
        <v/>
      </c>
      <c r="K94" s="147" t="str">
        <f t="shared" si="15"/>
        <v/>
      </c>
      <c r="L94" s="147" t="str">
        <f t="shared" si="16"/>
        <v/>
      </c>
      <c r="M94" s="330"/>
      <c r="N94" s="331"/>
      <c r="O94" s="201" t="str">
        <f t="shared" si="19"/>
        <v/>
      </c>
      <c r="P94" s="202" t="str">
        <f t="shared" si="20"/>
        <v/>
      </c>
      <c r="Q94" s="332"/>
      <c r="R94" s="332"/>
      <c r="S94" s="332" t="str">
        <f t="shared" si="21"/>
        <v/>
      </c>
      <c r="T94" s="204" t="str">
        <f t="shared" si="22"/>
        <v/>
      </c>
      <c r="U94" s="343" t="str">
        <f t="shared" si="23"/>
        <v/>
      </c>
      <c r="V94" s="350"/>
      <c r="W94" s="349"/>
      <c r="X94" s="345"/>
      <c r="Y94" s="330"/>
      <c r="Z94" s="330"/>
      <c r="AA94" s="330"/>
      <c r="AB94" s="330"/>
      <c r="AC94" s="330"/>
      <c r="AD94" s="349"/>
      <c r="AE94" s="356"/>
      <c r="AF94" s="532" t="str">
        <f t="shared" si="24"/>
        <v/>
      </c>
      <c r="AG94" s="530" t="str">
        <f t="shared" si="25"/>
        <v/>
      </c>
      <c r="AH94" s="528" t="str">
        <f t="shared" si="26"/>
        <v/>
      </c>
      <c r="AI94" s="204" t="str">
        <f>IF($C94="","",VLOOKUP($AH94,'3-1.標準報酬月額・保険料表'!$N$8:$O$57,2,TRUE))</f>
        <v/>
      </c>
      <c r="AJ94" s="148"/>
      <c r="AK94" s="148"/>
      <c r="AL94" s="204">
        <f t="shared" si="17"/>
        <v>0</v>
      </c>
    </row>
    <row r="95" spans="1:38" s="145" customFormat="1" ht="20.100000000000001" customHeight="1" x14ac:dyDescent="0.15">
      <c r="A95" s="146" t="str">
        <f t="shared" si="18"/>
        <v/>
      </c>
      <c r="B95" s="325"/>
      <c r="C95" s="326"/>
      <c r="D95" s="327"/>
      <c r="E95" s="327"/>
      <c r="F95" s="328"/>
      <c r="G95" s="329"/>
      <c r="H95" s="329"/>
      <c r="I95" s="147" t="str">
        <f t="shared" si="27"/>
        <v/>
      </c>
      <c r="J95" s="147" t="str">
        <f t="shared" si="14"/>
        <v/>
      </c>
      <c r="K95" s="147" t="str">
        <f t="shared" si="15"/>
        <v/>
      </c>
      <c r="L95" s="147" t="str">
        <f t="shared" si="16"/>
        <v/>
      </c>
      <c r="M95" s="330"/>
      <c r="N95" s="331"/>
      <c r="O95" s="201" t="str">
        <f t="shared" si="19"/>
        <v/>
      </c>
      <c r="P95" s="202" t="str">
        <f t="shared" si="20"/>
        <v/>
      </c>
      <c r="Q95" s="332"/>
      <c r="R95" s="332"/>
      <c r="S95" s="332" t="str">
        <f t="shared" si="21"/>
        <v/>
      </c>
      <c r="T95" s="204" t="str">
        <f t="shared" si="22"/>
        <v/>
      </c>
      <c r="U95" s="343" t="str">
        <f t="shared" si="23"/>
        <v/>
      </c>
      <c r="V95" s="350"/>
      <c r="W95" s="349"/>
      <c r="X95" s="345"/>
      <c r="Y95" s="330"/>
      <c r="Z95" s="330"/>
      <c r="AA95" s="330"/>
      <c r="AB95" s="330"/>
      <c r="AC95" s="330"/>
      <c r="AD95" s="349"/>
      <c r="AE95" s="356"/>
      <c r="AF95" s="532" t="str">
        <f t="shared" si="24"/>
        <v/>
      </c>
      <c r="AG95" s="530" t="str">
        <f t="shared" si="25"/>
        <v/>
      </c>
      <c r="AH95" s="528" t="str">
        <f t="shared" si="26"/>
        <v/>
      </c>
      <c r="AI95" s="204" t="str">
        <f>IF($C95="","",VLOOKUP($AH95,'3-1.標準報酬月額・保険料表'!$N$8:$O$57,2,TRUE))</f>
        <v/>
      </c>
      <c r="AJ95" s="148"/>
      <c r="AK95" s="148"/>
      <c r="AL95" s="204">
        <f t="shared" si="17"/>
        <v>0</v>
      </c>
    </row>
    <row r="96" spans="1:38" s="145" customFormat="1" ht="20.100000000000001" customHeight="1" x14ac:dyDescent="0.15">
      <c r="A96" s="146" t="str">
        <f t="shared" si="18"/>
        <v/>
      </c>
      <c r="B96" s="325"/>
      <c r="C96" s="326"/>
      <c r="D96" s="327"/>
      <c r="E96" s="327"/>
      <c r="F96" s="328"/>
      <c r="G96" s="329"/>
      <c r="H96" s="329"/>
      <c r="I96" s="147" t="str">
        <f t="shared" si="27"/>
        <v/>
      </c>
      <c r="J96" s="147" t="str">
        <f t="shared" si="14"/>
        <v/>
      </c>
      <c r="K96" s="147" t="str">
        <f t="shared" si="15"/>
        <v/>
      </c>
      <c r="L96" s="147" t="str">
        <f t="shared" si="16"/>
        <v/>
      </c>
      <c r="M96" s="330"/>
      <c r="N96" s="331"/>
      <c r="O96" s="201" t="str">
        <f t="shared" si="19"/>
        <v/>
      </c>
      <c r="P96" s="202" t="str">
        <f t="shared" si="20"/>
        <v/>
      </c>
      <c r="Q96" s="332"/>
      <c r="R96" s="332"/>
      <c r="S96" s="332" t="str">
        <f t="shared" si="21"/>
        <v/>
      </c>
      <c r="T96" s="204" t="str">
        <f t="shared" si="22"/>
        <v/>
      </c>
      <c r="U96" s="343" t="str">
        <f t="shared" si="23"/>
        <v/>
      </c>
      <c r="V96" s="350"/>
      <c r="W96" s="349"/>
      <c r="X96" s="345"/>
      <c r="Y96" s="330"/>
      <c r="Z96" s="330"/>
      <c r="AA96" s="330"/>
      <c r="AB96" s="330"/>
      <c r="AC96" s="330"/>
      <c r="AD96" s="349"/>
      <c r="AE96" s="356"/>
      <c r="AF96" s="532" t="str">
        <f t="shared" si="24"/>
        <v/>
      </c>
      <c r="AG96" s="530" t="str">
        <f t="shared" si="25"/>
        <v/>
      </c>
      <c r="AH96" s="528" t="str">
        <f t="shared" si="26"/>
        <v/>
      </c>
      <c r="AI96" s="204" t="str">
        <f>IF($C96="","",VLOOKUP($AH96,'3-1.標準報酬月額・保険料表'!$N$8:$O$57,2,TRUE))</f>
        <v/>
      </c>
      <c r="AJ96" s="148"/>
      <c r="AK96" s="148"/>
      <c r="AL96" s="204">
        <f t="shared" si="17"/>
        <v>0</v>
      </c>
    </row>
    <row r="97" spans="1:38" s="145" customFormat="1" ht="20.100000000000001" customHeight="1" x14ac:dyDescent="0.15">
      <c r="A97" s="146" t="str">
        <f t="shared" si="18"/>
        <v/>
      </c>
      <c r="B97" s="325"/>
      <c r="C97" s="326"/>
      <c r="D97" s="327"/>
      <c r="E97" s="327"/>
      <c r="F97" s="328"/>
      <c r="G97" s="329"/>
      <c r="H97" s="329"/>
      <c r="I97" s="147" t="str">
        <f t="shared" si="27"/>
        <v/>
      </c>
      <c r="J97" s="147" t="str">
        <f t="shared" si="14"/>
        <v/>
      </c>
      <c r="K97" s="147" t="str">
        <f t="shared" si="15"/>
        <v/>
      </c>
      <c r="L97" s="147" t="str">
        <f t="shared" si="16"/>
        <v/>
      </c>
      <c r="M97" s="330"/>
      <c r="N97" s="331"/>
      <c r="O97" s="201" t="str">
        <f t="shared" si="19"/>
        <v/>
      </c>
      <c r="P97" s="202" t="str">
        <f t="shared" si="20"/>
        <v/>
      </c>
      <c r="Q97" s="332"/>
      <c r="R97" s="332"/>
      <c r="S97" s="332" t="str">
        <f t="shared" si="21"/>
        <v/>
      </c>
      <c r="T97" s="204" t="str">
        <f t="shared" si="22"/>
        <v/>
      </c>
      <c r="U97" s="343" t="str">
        <f t="shared" si="23"/>
        <v/>
      </c>
      <c r="V97" s="350"/>
      <c r="W97" s="349"/>
      <c r="X97" s="345"/>
      <c r="Y97" s="330"/>
      <c r="Z97" s="330"/>
      <c r="AA97" s="330"/>
      <c r="AB97" s="330"/>
      <c r="AC97" s="330"/>
      <c r="AD97" s="349"/>
      <c r="AE97" s="356"/>
      <c r="AF97" s="532" t="str">
        <f t="shared" si="24"/>
        <v/>
      </c>
      <c r="AG97" s="530" t="str">
        <f t="shared" si="25"/>
        <v/>
      </c>
      <c r="AH97" s="528" t="str">
        <f t="shared" si="26"/>
        <v/>
      </c>
      <c r="AI97" s="204" t="str">
        <f>IF($C97="","",VLOOKUP($AH97,'3-1.標準報酬月額・保険料表'!$N$8:$O$57,2,TRUE))</f>
        <v/>
      </c>
      <c r="AJ97" s="148"/>
      <c r="AK97" s="148"/>
      <c r="AL97" s="204">
        <f t="shared" si="17"/>
        <v>0</v>
      </c>
    </row>
    <row r="98" spans="1:38" s="145" customFormat="1" ht="20.100000000000001" customHeight="1" x14ac:dyDescent="0.15">
      <c r="A98" s="146" t="str">
        <f t="shared" si="18"/>
        <v/>
      </c>
      <c r="B98" s="325"/>
      <c r="C98" s="326"/>
      <c r="D98" s="327"/>
      <c r="E98" s="327"/>
      <c r="F98" s="328"/>
      <c r="G98" s="329"/>
      <c r="H98" s="329"/>
      <c r="I98" s="147" t="str">
        <f t="shared" si="27"/>
        <v/>
      </c>
      <c r="J98" s="147" t="str">
        <f t="shared" si="14"/>
        <v/>
      </c>
      <c r="K98" s="147" t="str">
        <f t="shared" si="15"/>
        <v/>
      </c>
      <c r="L98" s="147" t="str">
        <f t="shared" si="16"/>
        <v/>
      </c>
      <c r="M98" s="330"/>
      <c r="N98" s="331"/>
      <c r="O98" s="201" t="str">
        <f t="shared" si="19"/>
        <v/>
      </c>
      <c r="P98" s="202" t="str">
        <f t="shared" si="20"/>
        <v/>
      </c>
      <c r="Q98" s="332"/>
      <c r="R98" s="332"/>
      <c r="S98" s="332" t="str">
        <f t="shared" si="21"/>
        <v/>
      </c>
      <c r="T98" s="204" t="str">
        <f t="shared" si="22"/>
        <v/>
      </c>
      <c r="U98" s="343" t="str">
        <f t="shared" si="23"/>
        <v/>
      </c>
      <c r="V98" s="350"/>
      <c r="W98" s="349"/>
      <c r="X98" s="345"/>
      <c r="Y98" s="330"/>
      <c r="Z98" s="330"/>
      <c r="AA98" s="330"/>
      <c r="AB98" s="330"/>
      <c r="AC98" s="330"/>
      <c r="AD98" s="349"/>
      <c r="AE98" s="356"/>
      <c r="AF98" s="532" t="str">
        <f t="shared" si="24"/>
        <v/>
      </c>
      <c r="AG98" s="530" t="str">
        <f t="shared" si="25"/>
        <v/>
      </c>
      <c r="AH98" s="528" t="str">
        <f t="shared" si="26"/>
        <v/>
      </c>
      <c r="AI98" s="204" t="str">
        <f>IF($C98="","",VLOOKUP($AH98,'3-1.標準報酬月額・保険料表'!$N$8:$O$57,2,TRUE))</f>
        <v/>
      </c>
      <c r="AJ98" s="148"/>
      <c r="AK98" s="148"/>
      <c r="AL98" s="204">
        <f t="shared" si="17"/>
        <v>0</v>
      </c>
    </row>
    <row r="99" spans="1:38" s="145" customFormat="1" ht="20.100000000000001" customHeight="1" x14ac:dyDescent="0.15">
      <c r="A99" s="146" t="str">
        <f t="shared" si="18"/>
        <v/>
      </c>
      <c r="B99" s="325"/>
      <c r="C99" s="326"/>
      <c r="D99" s="327"/>
      <c r="E99" s="327"/>
      <c r="F99" s="328"/>
      <c r="G99" s="329"/>
      <c r="H99" s="329"/>
      <c r="I99" s="147" t="str">
        <f t="shared" si="27"/>
        <v/>
      </c>
      <c r="J99" s="147" t="str">
        <f t="shared" si="14"/>
        <v/>
      </c>
      <c r="K99" s="147" t="str">
        <f t="shared" si="15"/>
        <v/>
      </c>
      <c r="L99" s="147" t="str">
        <f t="shared" si="16"/>
        <v/>
      </c>
      <c r="M99" s="330"/>
      <c r="N99" s="331"/>
      <c r="O99" s="201" t="str">
        <f t="shared" si="19"/>
        <v/>
      </c>
      <c r="P99" s="202" t="str">
        <f t="shared" si="20"/>
        <v/>
      </c>
      <c r="Q99" s="332"/>
      <c r="R99" s="332"/>
      <c r="S99" s="332" t="str">
        <f t="shared" si="21"/>
        <v/>
      </c>
      <c r="T99" s="204" t="str">
        <f t="shared" si="22"/>
        <v/>
      </c>
      <c r="U99" s="343" t="str">
        <f t="shared" si="23"/>
        <v/>
      </c>
      <c r="V99" s="350"/>
      <c r="W99" s="349"/>
      <c r="X99" s="345"/>
      <c r="Y99" s="330"/>
      <c r="Z99" s="330"/>
      <c r="AA99" s="330"/>
      <c r="AB99" s="330"/>
      <c r="AC99" s="330"/>
      <c r="AD99" s="349"/>
      <c r="AE99" s="356"/>
      <c r="AF99" s="532" t="str">
        <f t="shared" si="24"/>
        <v/>
      </c>
      <c r="AG99" s="530" t="str">
        <f t="shared" si="25"/>
        <v/>
      </c>
      <c r="AH99" s="528" t="str">
        <f t="shared" si="26"/>
        <v/>
      </c>
      <c r="AI99" s="204" t="str">
        <f>IF($C99="","",VLOOKUP($AH99,'3-1.標準報酬月額・保険料表'!$N$8:$O$57,2,TRUE))</f>
        <v/>
      </c>
      <c r="AJ99" s="148"/>
      <c r="AK99" s="148"/>
      <c r="AL99" s="204">
        <f t="shared" si="17"/>
        <v>0</v>
      </c>
    </row>
    <row r="100" spans="1:38" s="145" customFormat="1" ht="20.100000000000001" customHeight="1" x14ac:dyDescent="0.15">
      <c r="A100" s="146" t="str">
        <f t="shared" si="18"/>
        <v/>
      </c>
      <c r="B100" s="325"/>
      <c r="C100" s="326"/>
      <c r="D100" s="327"/>
      <c r="E100" s="327"/>
      <c r="F100" s="328"/>
      <c r="G100" s="329"/>
      <c r="H100" s="329"/>
      <c r="I100" s="147" t="str">
        <f t="shared" si="27"/>
        <v/>
      </c>
      <c r="J100" s="147" t="str">
        <f t="shared" si="14"/>
        <v/>
      </c>
      <c r="K100" s="147" t="str">
        <f t="shared" si="15"/>
        <v/>
      </c>
      <c r="L100" s="147" t="str">
        <f t="shared" si="16"/>
        <v/>
      </c>
      <c r="M100" s="330"/>
      <c r="N100" s="331"/>
      <c r="O100" s="201" t="str">
        <f t="shared" si="19"/>
        <v/>
      </c>
      <c r="P100" s="202" t="str">
        <f t="shared" si="20"/>
        <v/>
      </c>
      <c r="Q100" s="332"/>
      <c r="R100" s="332"/>
      <c r="S100" s="332" t="str">
        <f t="shared" si="21"/>
        <v/>
      </c>
      <c r="T100" s="204" t="str">
        <f t="shared" si="22"/>
        <v/>
      </c>
      <c r="U100" s="343" t="str">
        <f t="shared" si="23"/>
        <v/>
      </c>
      <c r="V100" s="350"/>
      <c r="W100" s="349"/>
      <c r="X100" s="345"/>
      <c r="Y100" s="330"/>
      <c r="Z100" s="330"/>
      <c r="AA100" s="330"/>
      <c r="AB100" s="330"/>
      <c r="AC100" s="330"/>
      <c r="AD100" s="349"/>
      <c r="AE100" s="356"/>
      <c r="AF100" s="532" t="str">
        <f t="shared" si="24"/>
        <v/>
      </c>
      <c r="AG100" s="530" t="str">
        <f t="shared" si="25"/>
        <v/>
      </c>
      <c r="AH100" s="528" t="str">
        <f t="shared" si="26"/>
        <v/>
      </c>
      <c r="AI100" s="204" t="str">
        <f>IF($C100="","",VLOOKUP($AH100,'3-1.標準報酬月額・保険料表'!$N$8:$O$57,2,TRUE))</f>
        <v/>
      </c>
      <c r="AJ100" s="148"/>
      <c r="AK100" s="148"/>
      <c r="AL100" s="204">
        <f t="shared" si="17"/>
        <v>0</v>
      </c>
    </row>
    <row r="101" spans="1:38" s="145" customFormat="1" ht="20.100000000000001" customHeight="1" x14ac:dyDescent="0.15">
      <c r="A101" s="146" t="str">
        <f t="shared" si="18"/>
        <v/>
      </c>
      <c r="B101" s="325"/>
      <c r="C101" s="326"/>
      <c r="D101" s="327"/>
      <c r="E101" s="327"/>
      <c r="F101" s="328"/>
      <c r="G101" s="329"/>
      <c r="H101" s="329"/>
      <c r="I101" s="147" t="str">
        <f t="shared" si="27"/>
        <v/>
      </c>
      <c r="J101" s="147" t="str">
        <f t="shared" si="14"/>
        <v/>
      </c>
      <c r="K101" s="147" t="str">
        <f t="shared" si="15"/>
        <v/>
      </c>
      <c r="L101" s="147" t="str">
        <f t="shared" si="16"/>
        <v/>
      </c>
      <c r="M101" s="330"/>
      <c r="N101" s="331"/>
      <c r="O101" s="201" t="str">
        <f t="shared" si="19"/>
        <v/>
      </c>
      <c r="P101" s="202" t="str">
        <f t="shared" si="20"/>
        <v/>
      </c>
      <c r="Q101" s="332"/>
      <c r="R101" s="332"/>
      <c r="S101" s="332" t="str">
        <f t="shared" si="21"/>
        <v/>
      </c>
      <c r="T101" s="204" t="str">
        <f t="shared" si="22"/>
        <v/>
      </c>
      <c r="U101" s="343" t="str">
        <f t="shared" si="23"/>
        <v/>
      </c>
      <c r="V101" s="350"/>
      <c r="W101" s="349"/>
      <c r="X101" s="345"/>
      <c r="Y101" s="330"/>
      <c r="Z101" s="330"/>
      <c r="AA101" s="330"/>
      <c r="AB101" s="330"/>
      <c r="AC101" s="330"/>
      <c r="AD101" s="349"/>
      <c r="AE101" s="356"/>
      <c r="AF101" s="532" t="str">
        <f t="shared" si="24"/>
        <v/>
      </c>
      <c r="AG101" s="530" t="str">
        <f t="shared" si="25"/>
        <v/>
      </c>
      <c r="AH101" s="528" t="str">
        <f t="shared" si="26"/>
        <v/>
      </c>
      <c r="AI101" s="204" t="str">
        <f>IF($C101="","",VLOOKUP($AH101,'3-1.標準報酬月額・保険料表'!$N$8:$O$57,2,TRUE))</f>
        <v/>
      </c>
      <c r="AJ101" s="148"/>
      <c r="AK101" s="148"/>
      <c r="AL101" s="204">
        <f t="shared" si="17"/>
        <v>0</v>
      </c>
    </row>
    <row r="102" spans="1:38" s="145" customFormat="1" ht="20.100000000000001" customHeight="1" x14ac:dyDescent="0.15">
      <c r="A102" s="146" t="str">
        <f t="shared" si="18"/>
        <v/>
      </c>
      <c r="B102" s="325"/>
      <c r="C102" s="326"/>
      <c r="D102" s="327"/>
      <c r="E102" s="327"/>
      <c r="F102" s="328"/>
      <c r="G102" s="329"/>
      <c r="H102" s="329"/>
      <c r="I102" s="147" t="str">
        <f t="shared" si="27"/>
        <v/>
      </c>
      <c r="J102" s="147" t="str">
        <f t="shared" si="14"/>
        <v/>
      </c>
      <c r="K102" s="147" t="str">
        <f t="shared" si="15"/>
        <v/>
      </c>
      <c r="L102" s="147" t="str">
        <f t="shared" si="16"/>
        <v/>
      </c>
      <c r="M102" s="330"/>
      <c r="N102" s="331"/>
      <c r="O102" s="201" t="str">
        <f t="shared" si="19"/>
        <v/>
      </c>
      <c r="P102" s="202" t="str">
        <f t="shared" si="20"/>
        <v/>
      </c>
      <c r="Q102" s="332"/>
      <c r="R102" s="332"/>
      <c r="S102" s="332" t="str">
        <f t="shared" si="21"/>
        <v/>
      </c>
      <c r="T102" s="204" t="str">
        <f t="shared" si="22"/>
        <v/>
      </c>
      <c r="U102" s="343" t="str">
        <f t="shared" si="23"/>
        <v/>
      </c>
      <c r="V102" s="350"/>
      <c r="W102" s="349"/>
      <c r="X102" s="345"/>
      <c r="Y102" s="330"/>
      <c r="Z102" s="330"/>
      <c r="AA102" s="330"/>
      <c r="AB102" s="330"/>
      <c r="AC102" s="330"/>
      <c r="AD102" s="349"/>
      <c r="AE102" s="356"/>
      <c r="AF102" s="532" t="str">
        <f t="shared" si="24"/>
        <v/>
      </c>
      <c r="AG102" s="530" t="str">
        <f t="shared" si="25"/>
        <v/>
      </c>
      <c r="AH102" s="528" t="str">
        <f t="shared" si="26"/>
        <v/>
      </c>
      <c r="AI102" s="204" t="str">
        <f>IF($C102="","",VLOOKUP($AH102,'3-1.標準報酬月額・保険料表'!$N$8:$O$57,2,TRUE))</f>
        <v/>
      </c>
      <c r="AJ102" s="148"/>
      <c r="AK102" s="148"/>
      <c r="AL102" s="204">
        <f t="shared" si="17"/>
        <v>0</v>
      </c>
    </row>
    <row r="103" spans="1:38" s="145" customFormat="1" ht="20.100000000000001" customHeight="1" x14ac:dyDescent="0.15">
      <c r="A103" s="146" t="str">
        <f t="shared" si="18"/>
        <v/>
      </c>
      <c r="B103" s="325"/>
      <c r="C103" s="326"/>
      <c r="D103" s="327"/>
      <c r="E103" s="327"/>
      <c r="F103" s="328"/>
      <c r="G103" s="329"/>
      <c r="H103" s="329"/>
      <c r="I103" s="147" t="str">
        <f t="shared" si="27"/>
        <v/>
      </c>
      <c r="J103" s="147" t="str">
        <f t="shared" si="14"/>
        <v/>
      </c>
      <c r="K103" s="147" t="str">
        <f t="shared" si="15"/>
        <v/>
      </c>
      <c r="L103" s="147" t="str">
        <f t="shared" si="16"/>
        <v/>
      </c>
      <c r="M103" s="330"/>
      <c r="N103" s="331"/>
      <c r="O103" s="201" t="str">
        <f t="shared" si="19"/>
        <v/>
      </c>
      <c r="P103" s="202" t="str">
        <f t="shared" si="20"/>
        <v/>
      </c>
      <c r="Q103" s="332"/>
      <c r="R103" s="332"/>
      <c r="S103" s="332" t="str">
        <f t="shared" si="21"/>
        <v/>
      </c>
      <c r="T103" s="204" t="str">
        <f t="shared" si="22"/>
        <v/>
      </c>
      <c r="U103" s="343" t="str">
        <f t="shared" si="23"/>
        <v/>
      </c>
      <c r="V103" s="350"/>
      <c r="W103" s="349"/>
      <c r="X103" s="345"/>
      <c r="Y103" s="330"/>
      <c r="Z103" s="330"/>
      <c r="AA103" s="330"/>
      <c r="AB103" s="330"/>
      <c r="AC103" s="330"/>
      <c r="AD103" s="349"/>
      <c r="AE103" s="356"/>
      <c r="AF103" s="532" t="str">
        <f t="shared" si="24"/>
        <v/>
      </c>
      <c r="AG103" s="530" t="str">
        <f t="shared" si="25"/>
        <v/>
      </c>
      <c r="AH103" s="528" t="str">
        <f t="shared" si="26"/>
        <v/>
      </c>
      <c r="AI103" s="204" t="str">
        <f>IF($C103="","",VLOOKUP($AH103,'3-1.標準報酬月額・保険料表'!$N$8:$O$57,2,TRUE))</f>
        <v/>
      </c>
      <c r="AJ103" s="148"/>
      <c r="AK103" s="148"/>
      <c r="AL103" s="204">
        <f t="shared" si="17"/>
        <v>0</v>
      </c>
    </row>
    <row r="104" spans="1:38" s="145" customFormat="1" ht="20.100000000000001" customHeight="1" x14ac:dyDescent="0.15">
      <c r="A104" s="146" t="str">
        <f t="shared" si="18"/>
        <v/>
      </c>
      <c r="B104" s="325"/>
      <c r="C104" s="326"/>
      <c r="D104" s="327"/>
      <c r="E104" s="327"/>
      <c r="F104" s="328"/>
      <c r="G104" s="329"/>
      <c r="H104" s="329"/>
      <c r="I104" s="147" t="str">
        <f t="shared" si="27"/>
        <v/>
      </c>
      <c r="J104" s="147" t="str">
        <f t="shared" si="14"/>
        <v/>
      </c>
      <c r="K104" s="147" t="str">
        <f t="shared" si="15"/>
        <v/>
      </c>
      <c r="L104" s="147" t="str">
        <f t="shared" si="16"/>
        <v/>
      </c>
      <c r="M104" s="330"/>
      <c r="N104" s="331"/>
      <c r="O104" s="201" t="str">
        <f t="shared" si="19"/>
        <v/>
      </c>
      <c r="P104" s="202" t="str">
        <f t="shared" si="20"/>
        <v/>
      </c>
      <c r="Q104" s="332"/>
      <c r="R104" s="332"/>
      <c r="S104" s="332" t="str">
        <f t="shared" si="21"/>
        <v/>
      </c>
      <c r="T104" s="204" t="str">
        <f t="shared" si="22"/>
        <v/>
      </c>
      <c r="U104" s="343" t="str">
        <f t="shared" si="23"/>
        <v/>
      </c>
      <c r="V104" s="350"/>
      <c r="W104" s="349"/>
      <c r="X104" s="345"/>
      <c r="Y104" s="330"/>
      <c r="Z104" s="330"/>
      <c r="AA104" s="330"/>
      <c r="AB104" s="330"/>
      <c r="AC104" s="330"/>
      <c r="AD104" s="349"/>
      <c r="AE104" s="356"/>
      <c r="AF104" s="532" t="str">
        <f t="shared" si="24"/>
        <v/>
      </c>
      <c r="AG104" s="530" t="str">
        <f t="shared" si="25"/>
        <v/>
      </c>
      <c r="AH104" s="528" t="str">
        <f t="shared" si="26"/>
        <v/>
      </c>
      <c r="AI104" s="204" t="str">
        <f>IF($C104="","",VLOOKUP($AH104,'3-1.標準報酬月額・保険料表'!$N$8:$O$57,2,TRUE))</f>
        <v/>
      </c>
      <c r="AJ104" s="148"/>
      <c r="AK104" s="148"/>
      <c r="AL104" s="204">
        <f t="shared" si="17"/>
        <v>0</v>
      </c>
    </row>
    <row r="105" spans="1:38" s="145" customFormat="1" ht="20.100000000000001" customHeight="1" x14ac:dyDescent="0.15">
      <c r="A105" s="146" t="str">
        <f t="shared" si="18"/>
        <v/>
      </c>
      <c r="B105" s="325"/>
      <c r="C105" s="326"/>
      <c r="D105" s="327"/>
      <c r="E105" s="327"/>
      <c r="F105" s="328"/>
      <c r="G105" s="329"/>
      <c r="H105" s="329"/>
      <c r="I105" s="147" t="str">
        <f t="shared" si="27"/>
        <v/>
      </c>
      <c r="J105" s="147" t="str">
        <f t="shared" si="14"/>
        <v/>
      </c>
      <c r="K105" s="147" t="str">
        <f t="shared" si="15"/>
        <v/>
      </c>
      <c r="L105" s="147" t="str">
        <f t="shared" si="16"/>
        <v/>
      </c>
      <c r="M105" s="330"/>
      <c r="N105" s="331"/>
      <c r="O105" s="201" t="str">
        <f t="shared" si="19"/>
        <v/>
      </c>
      <c r="P105" s="202" t="str">
        <f t="shared" si="20"/>
        <v/>
      </c>
      <c r="Q105" s="332"/>
      <c r="R105" s="332"/>
      <c r="S105" s="332" t="str">
        <f t="shared" si="21"/>
        <v/>
      </c>
      <c r="T105" s="204" t="str">
        <f t="shared" si="22"/>
        <v/>
      </c>
      <c r="U105" s="343" t="str">
        <f t="shared" si="23"/>
        <v/>
      </c>
      <c r="V105" s="350"/>
      <c r="W105" s="349"/>
      <c r="X105" s="345"/>
      <c r="Y105" s="330"/>
      <c r="Z105" s="330"/>
      <c r="AA105" s="330"/>
      <c r="AB105" s="330"/>
      <c r="AC105" s="330"/>
      <c r="AD105" s="349"/>
      <c r="AE105" s="356"/>
      <c r="AF105" s="532" t="str">
        <f t="shared" si="24"/>
        <v/>
      </c>
      <c r="AG105" s="530" t="str">
        <f t="shared" si="25"/>
        <v/>
      </c>
      <c r="AH105" s="528" t="str">
        <f t="shared" si="26"/>
        <v/>
      </c>
      <c r="AI105" s="204" t="str">
        <f>IF($C105="","",VLOOKUP($AH105,'3-1.標準報酬月額・保険料表'!$N$8:$O$57,2,TRUE))</f>
        <v/>
      </c>
      <c r="AJ105" s="148"/>
      <c r="AK105" s="148"/>
      <c r="AL105" s="204">
        <f t="shared" si="17"/>
        <v>0</v>
      </c>
    </row>
    <row r="106" spans="1:38" s="145" customFormat="1" ht="20.100000000000001" customHeight="1" x14ac:dyDescent="0.15">
      <c r="A106" s="146" t="str">
        <f t="shared" si="18"/>
        <v/>
      </c>
      <c r="B106" s="325"/>
      <c r="C106" s="326"/>
      <c r="D106" s="327"/>
      <c r="E106" s="327"/>
      <c r="F106" s="328"/>
      <c r="G106" s="329"/>
      <c r="H106" s="329"/>
      <c r="I106" s="147" t="str">
        <f t="shared" si="27"/>
        <v/>
      </c>
      <c r="J106" s="147" t="str">
        <f t="shared" si="14"/>
        <v/>
      </c>
      <c r="K106" s="147" t="str">
        <f t="shared" si="15"/>
        <v/>
      </c>
      <c r="L106" s="147" t="str">
        <f t="shared" si="16"/>
        <v/>
      </c>
      <c r="M106" s="330"/>
      <c r="N106" s="331"/>
      <c r="O106" s="201" t="str">
        <f t="shared" si="19"/>
        <v/>
      </c>
      <c r="P106" s="202" t="str">
        <f t="shared" si="20"/>
        <v/>
      </c>
      <c r="Q106" s="332"/>
      <c r="R106" s="332"/>
      <c r="S106" s="332" t="str">
        <f t="shared" si="21"/>
        <v/>
      </c>
      <c r="T106" s="204" t="str">
        <f t="shared" si="22"/>
        <v/>
      </c>
      <c r="U106" s="343" t="str">
        <f t="shared" si="23"/>
        <v/>
      </c>
      <c r="V106" s="350"/>
      <c r="W106" s="349"/>
      <c r="X106" s="345"/>
      <c r="Y106" s="330"/>
      <c r="Z106" s="330"/>
      <c r="AA106" s="330"/>
      <c r="AB106" s="330"/>
      <c r="AC106" s="330"/>
      <c r="AD106" s="349"/>
      <c r="AE106" s="356"/>
      <c r="AF106" s="532" t="str">
        <f t="shared" si="24"/>
        <v/>
      </c>
      <c r="AG106" s="530" t="str">
        <f t="shared" si="25"/>
        <v/>
      </c>
      <c r="AH106" s="528" t="str">
        <f t="shared" si="26"/>
        <v/>
      </c>
      <c r="AI106" s="204" t="str">
        <f>IF($C106="","",VLOOKUP($AH106,'3-1.標準報酬月額・保険料表'!$N$8:$O$57,2,TRUE))</f>
        <v/>
      </c>
      <c r="AJ106" s="148"/>
      <c r="AK106" s="148"/>
      <c r="AL106" s="204">
        <f t="shared" si="17"/>
        <v>0</v>
      </c>
    </row>
    <row r="107" spans="1:38" s="145" customFormat="1" ht="20.100000000000001" customHeight="1" x14ac:dyDescent="0.15">
      <c r="A107" s="146" t="str">
        <f t="shared" si="18"/>
        <v/>
      </c>
      <c r="B107" s="325"/>
      <c r="C107" s="326"/>
      <c r="D107" s="327"/>
      <c r="E107" s="327"/>
      <c r="F107" s="328"/>
      <c r="G107" s="329"/>
      <c r="H107" s="329"/>
      <c r="I107" s="147" t="str">
        <f t="shared" si="27"/>
        <v/>
      </c>
      <c r="J107" s="147" t="str">
        <f t="shared" si="14"/>
        <v/>
      </c>
      <c r="K107" s="147" t="str">
        <f t="shared" si="15"/>
        <v/>
      </c>
      <c r="L107" s="147" t="str">
        <f t="shared" si="16"/>
        <v/>
      </c>
      <c r="M107" s="330"/>
      <c r="N107" s="331"/>
      <c r="O107" s="201" t="str">
        <f t="shared" si="19"/>
        <v/>
      </c>
      <c r="P107" s="202" t="str">
        <f t="shared" si="20"/>
        <v/>
      </c>
      <c r="Q107" s="332"/>
      <c r="R107" s="332"/>
      <c r="S107" s="332" t="str">
        <f t="shared" si="21"/>
        <v/>
      </c>
      <c r="T107" s="204" t="str">
        <f t="shared" si="22"/>
        <v/>
      </c>
      <c r="U107" s="343" t="str">
        <f t="shared" si="23"/>
        <v/>
      </c>
      <c r="V107" s="350"/>
      <c r="W107" s="349"/>
      <c r="X107" s="345"/>
      <c r="Y107" s="330"/>
      <c r="Z107" s="330"/>
      <c r="AA107" s="330"/>
      <c r="AB107" s="330"/>
      <c r="AC107" s="330"/>
      <c r="AD107" s="349"/>
      <c r="AE107" s="356"/>
      <c r="AF107" s="532" t="str">
        <f t="shared" si="24"/>
        <v/>
      </c>
      <c r="AG107" s="530" t="str">
        <f t="shared" si="25"/>
        <v/>
      </c>
      <c r="AH107" s="528" t="str">
        <f t="shared" si="26"/>
        <v/>
      </c>
      <c r="AI107" s="204" t="str">
        <f>IF($C107="","",VLOOKUP($AH107,'3-1.標準報酬月額・保険料表'!$N$8:$O$57,2,TRUE))</f>
        <v/>
      </c>
      <c r="AJ107" s="148"/>
      <c r="AK107" s="148"/>
      <c r="AL107" s="204">
        <f t="shared" si="17"/>
        <v>0</v>
      </c>
    </row>
    <row r="108" spans="1:38" s="145" customFormat="1" ht="20.100000000000001" customHeight="1" x14ac:dyDescent="0.15">
      <c r="A108" s="146" t="str">
        <f t="shared" si="18"/>
        <v/>
      </c>
      <c r="B108" s="325"/>
      <c r="C108" s="326"/>
      <c r="D108" s="327"/>
      <c r="E108" s="327"/>
      <c r="F108" s="328"/>
      <c r="G108" s="329"/>
      <c r="H108" s="329"/>
      <c r="I108" s="147" t="str">
        <f t="shared" si="27"/>
        <v/>
      </c>
      <c r="J108" s="147" t="str">
        <f t="shared" si="14"/>
        <v/>
      </c>
      <c r="K108" s="147" t="str">
        <f t="shared" si="15"/>
        <v/>
      </c>
      <c r="L108" s="147" t="str">
        <f t="shared" si="16"/>
        <v/>
      </c>
      <c r="M108" s="330"/>
      <c r="N108" s="331"/>
      <c r="O108" s="201" t="str">
        <f t="shared" si="19"/>
        <v/>
      </c>
      <c r="P108" s="202" t="str">
        <f t="shared" si="20"/>
        <v/>
      </c>
      <c r="Q108" s="332"/>
      <c r="R108" s="332"/>
      <c r="S108" s="332" t="str">
        <f t="shared" si="21"/>
        <v/>
      </c>
      <c r="T108" s="204" t="str">
        <f t="shared" si="22"/>
        <v/>
      </c>
      <c r="U108" s="343" t="str">
        <f t="shared" si="23"/>
        <v/>
      </c>
      <c r="V108" s="350"/>
      <c r="W108" s="349"/>
      <c r="X108" s="345"/>
      <c r="Y108" s="330"/>
      <c r="Z108" s="330"/>
      <c r="AA108" s="330"/>
      <c r="AB108" s="330"/>
      <c r="AC108" s="330"/>
      <c r="AD108" s="349"/>
      <c r="AE108" s="356"/>
      <c r="AF108" s="532" t="str">
        <f t="shared" si="24"/>
        <v/>
      </c>
      <c r="AG108" s="530" t="str">
        <f t="shared" si="25"/>
        <v/>
      </c>
      <c r="AH108" s="528" t="str">
        <f t="shared" si="26"/>
        <v/>
      </c>
      <c r="AI108" s="204" t="str">
        <f>IF($C108="","",VLOOKUP($AH108,'3-1.標準報酬月額・保険料表'!$N$8:$O$57,2,TRUE))</f>
        <v/>
      </c>
      <c r="AJ108" s="148"/>
      <c r="AK108" s="148"/>
      <c r="AL108" s="204">
        <f t="shared" si="17"/>
        <v>0</v>
      </c>
    </row>
    <row r="109" spans="1:38" s="145" customFormat="1" ht="20.100000000000001" customHeight="1" thickBot="1" x14ac:dyDescent="0.2">
      <c r="A109" s="146" t="str">
        <f t="shared" si="18"/>
        <v/>
      </c>
      <c r="B109" s="325"/>
      <c r="C109" s="326"/>
      <c r="D109" s="327"/>
      <c r="E109" s="327"/>
      <c r="F109" s="328"/>
      <c r="G109" s="329"/>
      <c r="H109" s="329"/>
      <c r="I109" s="147" t="str">
        <f t="shared" si="27"/>
        <v/>
      </c>
      <c r="J109" s="147" t="str">
        <f t="shared" si="14"/>
        <v/>
      </c>
      <c r="K109" s="147" t="str">
        <f t="shared" si="15"/>
        <v/>
      </c>
      <c r="L109" s="147" t="str">
        <f t="shared" si="16"/>
        <v/>
      </c>
      <c r="M109" s="330"/>
      <c r="N109" s="331"/>
      <c r="O109" s="201" t="str">
        <f t="shared" si="19"/>
        <v/>
      </c>
      <c r="P109" s="202" t="str">
        <f t="shared" si="20"/>
        <v/>
      </c>
      <c r="Q109" s="332"/>
      <c r="R109" s="332"/>
      <c r="S109" s="332" t="str">
        <f t="shared" si="21"/>
        <v/>
      </c>
      <c r="T109" s="204" t="str">
        <f t="shared" si="22"/>
        <v/>
      </c>
      <c r="U109" s="343" t="str">
        <f t="shared" si="23"/>
        <v/>
      </c>
      <c r="V109" s="351"/>
      <c r="W109" s="352"/>
      <c r="X109" s="353"/>
      <c r="Y109" s="354"/>
      <c r="Z109" s="354"/>
      <c r="AA109" s="354"/>
      <c r="AB109" s="354"/>
      <c r="AC109" s="354"/>
      <c r="AD109" s="352"/>
      <c r="AE109" s="357"/>
      <c r="AF109" s="532" t="str">
        <f t="shared" si="24"/>
        <v/>
      </c>
      <c r="AG109" s="530" t="str">
        <f t="shared" si="25"/>
        <v/>
      </c>
      <c r="AH109" s="528" t="str">
        <f t="shared" si="26"/>
        <v/>
      </c>
      <c r="AI109" s="204" t="str">
        <f>IF($C109="","",VLOOKUP($AH109,'3-1.標準報酬月額・保険料表'!$N$8:$O$57,2,TRUE))</f>
        <v/>
      </c>
      <c r="AJ109" s="148"/>
      <c r="AK109" s="148"/>
      <c r="AL109" s="204">
        <f t="shared" si="17"/>
        <v>0</v>
      </c>
    </row>
    <row r="112" spans="1:38" x14ac:dyDescent="0.15">
      <c r="C112" s="150" t="s">
        <v>150</v>
      </c>
    </row>
    <row r="113" spans="3:3" x14ac:dyDescent="0.15">
      <c r="C113" s="150" t="s">
        <v>151</v>
      </c>
    </row>
  </sheetData>
  <sheetProtection algorithmName="SHA-512" hashValue="Oqgd5YFPzj4ZJBToH61Fkov5lhkzVGwlCDcEhxNHpZexpYFX+qEhAEsc09r9+OrnswbaqyRlafC1GpPMoWWQQg==" saltValue="fULTb0HDQXzoS0UICFKerw==" spinCount="100000" sheet="1" objects="1" scenarios="1"/>
  <mergeCells count="23">
    <mergeCell ref="N2:N3"/>
    <mergeCell ref="Q8:S8"/>
    <mergeCell ref="I3:K3"/>
    <mergeCell ref="I4:K4"/>
    <mergeCell ref="A8:A9"/>
    <mergeCell ref="C8:C9"/>
    <mergeCell ref="D8:D9"/>
    <mergeCell ref="E8:E9"/>
    <mergeCell ref="F8:F9"/>
    <mergeCell ref="G8:G9"/>
    <mergeCell ref="H8:H9"/>
    <mergeCell ref="I8:J8"/>
    <mergeCell ref="K8:L8"/>
    <mergeCell ref="M8:M9"/>
    <mergeCell ref="N8:N9"/>
    <mergeCell ref="O8:O9"/>
    <mergeCell ref="AI8:AI9"/>
    <mergeCell ref="AJ8:AL8"/>
    <mergeCell ref="P8:P9"/>
    <mergeCell ref="T8:U8"/>
    <mergeCell ref="AF8:AF9"/>
    <mergeCell ref="AG8:AG9"/>
    <mergeCell ref="AH8:AH9"/>
  </mergeCells>
  <phoneticPr fontId="3"/>
  <pageMargins left="0.70866141732283472" right="0.70866141732283472" top="0.74803149606299213" bottom="0.74803149606299213" header="0.31496062992125984" footer="0.31496062992125984"/>
  <pageSetup paperSize="9" scale="75" orientation="landscape" verticalDpi="0" r:id="rId1"/>
  <headerFooter>
    <oddFooter>&amp;C&amp;P</oddFooter>
  </headerFooter>
  <colBreaks count="1" manualBreakCount="1">
    <brk id="31" min="1" max="3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pageSetUpPr autoPageBreaks="0"/>
  </sheetPr>
  <dimension ref="C1:O37"/>
  <sheetViews>
    <sheetView showGridLines="0" zoomScaleNormal="100" workbookViewId="0">
      <selection activeCell="H21" sqref="H21"/>
    </sheetView>
  </sheetViews>
  <sheetFormatPr defaultRowHeight="13.5" x14ac:dyDescent="0.15"/>
  <cols>
    <col min="1" max="2" width="2.375" style="168" customWidth="1"/>
    <col min="3" max="3" width="4.25" style="168" customWidth="1"/>
    <col min="4" max="4" width="19.25" style="168" customWidth="1"/>
    <col min="5" max="16" width="14.625" style="168" customWidth="1"/>
    <col min="17" max="17" width="12.625" style="168" customWidth="1"/>
    <col min="18" max="16384" width="9" style="168"/>
  </cols>
  <sheetData>
    <row r="1" spans="3:15" ht="27" customHeight="1" x14ac:dyDescent="0.15"/>
    <row r="2" spans="3:15" ht="30" customHeight="1" x14ac:dyDescent="0.15">
      <c r="C2" s="255" t="s">
        <v>29</v>
      </c>
      <c r="F2" s="256" t="s">
        <v>141</v>
      </c>
      <c r="H2" s="909">
        <v>45108</v>
      </c>
      <c r="I2" s="909"/>
    </row>
    <row r="3" spans="3:15" ht="18" customHeight="1" x14ac:dyDescent="0.15">
      <c r="C3" s="257"/>
      <c r="I3" s="258"/>
    </row>
    <row r="4" spans="3:15" ht="30" customHeight="1" thickBot="1" x14ac:dyDescent="0.25">
      <c r="C4" s="259" t="s">
        <v>186</v>
      </c>
      <c r="D4" s="260"/>
      <c r="E4" s="261" t="s">
        <v>83</v>
      </c>
      <c r="G4" s="259" t="s">
        <v>187</v>
      </c>
      <c r="H4" s="262"/>
      <c r="I4" s="169"/>
      <c r="J4" s="263" t="s">
        <v>51</v>
      </c>
      <c r="L4" s="533" t="s">
        <v>27</v>
      </c>
    </row>
    <row r="5" spans="3:15" ht="30" customHeight="1" thickBot="1" x14ac:dyDescent="0.2">
      <c r="C5" s="915" t="s">
        <v>31</v>
      </c>
      <c r="D5" s="915"/>
      <c r="E5" s="113">
        <v>1.55E-2</v>
      </c>
      <c r="G5" s="912" t="s">
        <v>21</v>
      </c>
      <c r="H5" s="913"/>
      <c r="I5" s="913"/>
      <c r="J5" s="914"/>
      <c r="L5" s="534" t="s">
        <v>28</v>
      </c>
    </row>
    <row r="6" spans="3:15" ht="39.950000000000003" customHeight="1" thickBot="1" x14ac:dyDescent="0.2">
      <c r="C6" s="916" t="s">
        <v>127</v>
      </c>
      <c r="D6" s="916"/>
      <c r="E6" s="113">
        <v>6.0000000000000001E-3</v>
      </c>
      <c r="G6" s="264" t="s">
        <v>136</v>
      </c>
      <c r="H6" s="264" t="s">
        <v>137</v>
      </c>
      <c r="I6" s="265" t="s">
        <v>33</v>
      </c>
      <c r="J6" s="265" t="s">
        <v>34</v>
      </c>
    </row>
    <row r="7" spans="3:15" ht="30" customHeight="1" thickBot="1" x14ac:dyDescent="0.2">
      <c r="C7" s="266"/>
      <c r="D7" s="267"/>
      <c r="G7" s="111">
        <v>0.10290000000000001</v>
      </c>
      <c r="H7" s="112">
        <v>0.1211</v>
      </c>
      <c r="I7" s="299">
        <f>H7-G7</f>
        <v>1.8199999999999994E-2</v>
      </c>
      <c r="J7" s="112">
        <v>0.183</v>
      </c>
    </row>
    <row r="8" spans="3:15" ht="18" customHeight="1" x14ac:dyDescent="0.15">
      <c r="D8" s="268"/>
      <c r="G8" s="698" t="s">
        <v>50</v>
      </c>
    </row>
    <row r="9" spans="3:15" ht="17.25" customHeight="1" x14ac:dyDescent="0.15">
      <c r="C9" s="702"/>
      <c r="D9" s="702"/>
      <c r="G9" s="699" t="s">
        <v>381</v>
      </c>
    </row>
    <row r="10" spans="3:15" ht="17.25" customHeight="1" x14ac:dyDescent="0.15">
      <c r="C10" s="702"/>
      <c r="D10" s="702"/>
      <c r="G10" s="699"/>
    </row>
    <row r="11" spans="3:15" ht="32.25" customHeight="1" x14ac:dyDescent="0.15">
      <c r="C11" s="256" t="s">
        <v>133</v>
      </c>
      <c r="D11" s="702"/>
      <c r="E11" s="270"/>
      <c r="I11" s="703"/>
      <c r="J11" s="171"/>
      <c r="O11" s="271"/>
    </row>
    <row r="12" spans="3:15" ht="13.5" customHeight="1" x14ac:dyDescent="0.15">
      <c r="C12" s="704"/>
      <c r="D12" s="705" t="s">
        <v>388</v>
      </c>
      <c r="E12" s="278"/>
      <c r="F12" s="279"/>
      <c r="G12" s="277"/>
      <c r="I12" s="278"/>
      <c r="J12" s="279"/>
      <c r="L12" s="278"/>
      <c r="M12" s="278"/>
    </row>
    <row r="13" spans="3:15" ht="30" customHeight="1" x14ac:dyDescent="0.15">
      <c r="C13" s="256" t="s">
        <v>134</v>
      </c>
      <c r="D13" s="706"/>
      <c r="G13" s="280"/>
      <c r="H13" s="280"/>
    </row>
    <row r="14" spans="3:15" ht="13.5" customHeight="1" x14ac:dyDescent="0.15">
      <c r="C14" s="704"/>
      <c r="D14" s="705" t="s">
        <v>388</v>
      </c>
      <c r="E14" s="278"/>
      <c r="F14" s="279"/>
      <c r="G14" s="277"/>
      <c r="I14" s="278"/>
      <c r="J14" s="279"/>
      <c r="L14" s="278"/>
      <c r="M14" s="278"/>
    </row>
    <row r="15" spans="3:15" ht="25.5" customHeight="1" x14ac:dyDescent="0.15">
      <c r="C15" s="698"/>
      <c r="D15" s="702"/>
      <c r="I15" s="171"/>
      <c r="J15" s="171"/>
    </row>
    <row r="16" spans="3:15" ht="30" customHeight="1" x14ac:dyDescent="0.15">
      <c r="C16" s="259" t="s">
        <v>135</v>
      </c>
      <c r="F16" s="269" t="s">
        <v>129</v>
      </c>
      <c r="G16" s="181"/>
      <c r="L16" s="274"/>
    </row>
    <row r="17" spans="3:14" ht="9.9499999999999993" customHeight="1" thickBot="1" x14ac:dyDescent="0.2">
      <c r="C17" s="259"/>
      <c r="D17" s="272">
        <v>1</v>
      </c>
      <c r="E17" s="273">
        <v>2</v>
      </c>
      <c r="F17" s="273">
        <v>3</v>
      </c>
      <c r="G17" s="272">
        <v>4</v>
      </c>
      <c r="H17" s="273">
        <v>5</v>
      </c>
      <c r="I17" s="273">
        <v>6</v>
      </c>
      <c r="J17" s="272">
        <v>7</v>
      </c>
      <c r="K17" s="273">
        <v>8</v>
      </c>
      <c r="L17" s="273">
        <v>9</v>
      </c>
    </row>
    <row r="18" spans="3:14" ht="30" customHeight="1" thickBot="1" x14ac:dyDescent="0.2">
      <c r="C18" s="259"/>
      <c r="D18" s="272"/>
      <c r="E18" s="273"/>
      <c r="F18" s="273"/>
      <c r="G18" s="272"/>
      <c r="H18" s="273"/>
      <c r="I18" s="273"/>
      <c r="J18" s="917" t="s">
        <v>142</v>
      </c>
      <c r="K18" s="918"/>
      <c r="L18" s="273"/>
      <c r="N18" s="281"/>
    </row>
    <row r="19" spans="3:14" ht="30" customHeight="1" thickBot="1" x14ac:dyDescent="0.2">
      <c r="C19" s="910" t="s">
        <v>182</v>
      </c>
      <c r="D19" s="911"/>
      <c r="E19" s="282" t="s">
        <v>63</v>
      </c>
      <c r="F19" s="282" t="s">
        <v>66</v>
      </c>
      <c r="G19" s="283" t="s">
        <v>67</v>
      </c>
      <c r="H19" s="284" t="s">
        <v>68</v>
      </c>
      <c r="I19" s="282" t="s">
        <v>128</v>
      </c>
      <c r="J19" s="282" t="s">
        <v>81</v>
      </c>
      <c r="K19" s="282" t="s">
        <v>65</v>
      </c>
      <c r="L19" s="285"/>
      <c r="N19" s="281"/>
    </row>
    <row r="20" spans="3:14" ht="30" customHeight="1" thickBot="1" x14ac:dyDescent="0.2">
      <c r="C20" s="286">
        <v>1</v>
      </c>
      <c r="D20" s="287" t="s">
        <v>126</v>
      </c>
      <c r="E20" s="288">
        <v>2000</v>
      </c>
      <c r="F20" s="289">
        <v>3500</v>
      </c>
      <c r="G20" s="290">
        <v>0.04</v>
      </c>
      <c r="H20" s="291">
        <v>0.06</v>
      </c>
      <c r="I20" s="254">
        <f t="shared" ref="I20:I34" si="0">IF($D20="","",$G20+$H20)</f>
        <v>0.1</v>
      </c>
      <c r="J20" s="292">
        <v>965000</v>
      </c>
      <c r="K20" s="292">
        <v>1000000</v>
      </c>
      <c r="L20" s="293" t="s">
        <v>131</v>
      </c>
    </row>
    <row r="21" spans="3:14" ht="30" customHeight="1" thickBot="1" x14ac:dyDescent="0.2">
      <c r="C21" s="286">
        <v>2</v>
      </c>
      <c r="D21" s="287" t="s">
        <v>138</v>
      </c>
      <c r="E21" s="288">
        <v>2000</v>
      </c>
      <c r="F21" s="289">
        <v>3500</v>
      </c>
      <c r="G21" s="290">
        <v>0.04</v>
      </c>
      <c r="H21" s="291">
        <v>0.06</v>
      </c>
      <c r="I21" s="254">
        <f t="shared" si="0"/>
        <v>0.1</v>
      </c>
      <c r="J21" s="292">
        <v>965000</v>
      </c>
      <c r="K21" s="292">
        <v>1000000</v>
      </c>
      <c r="L21" s="293" t="s">
        <v>131</v>
      </c>
    </row>
    <row r="22" spans="3:14" ht="30" customHeight="1" thickBot="1" x14ac:dyDescent="0.2">
      <c r="C22" s="286">
        <v>3</v>
      </c>
      <c r="D22" s="287" t="s">
        <v>132</v>
      </c>
      <c r="E22" s="288">
        <v>1800</v>
      </c>
      <c r="F22" s="289">
        <v>3500</v>
      </c>
      <c r="G22" s="290">
        <v>0.02</v>
      </c>
      <c r="H22" s="291">
        <v>0.08</v>
      </c>
      <c r="I22" s="254">
        <f t="shared" si="0"/>
        <v>0.1</v>
      </c>
      <c r="J22" s="292">
        <v>1000000</v>
      </c>
      <c r="K22" s="292">
        <v>1000000</v>
      </c>
      <c r="L22" s="293" t="s">
        <v>131</v>
      </c>
    </row>
    <row r="23" spans="3:14" ht="30" customHeight="1" thickBot="1" x14ac:dyDescent="0.2">
      <c r="C23" s="286">
        <v>4</v>
      </c>
      <c r="D23" s="287"/>
      <c r="E23" s="288"/>
      <c r="F23" s="289"/>
      <c r="G23" s="290"/>
      <c r="H23" s="291"/>
      <c r="I23" s="254" t="str">
        <f t="shared" si="0"/>
        <v/>
      </c>
      <c r="J23" s="292"/>
      <c r="K23" s="292"/>
      <c r="L23" s="293"/>
    </row>
    <row r="24" spans="3:14" ht="30" customHeight="1" thickBot="1" x14ac:dyDescent="0.2">
      <c r="C24" s="286">
        <v>5</v>
      </c>
      <c r="D24" s="287"/>
      <c r="E24" s="288"/>
      <c r="F24" s="289"/>
      <c r="G24" s="290"/>
      <c r="H24" s="291"/>
      <c r="I24" s="254" t="str">
        <f t="shared" si="0"/>
        <v/>
      </c>
      <c r="J24" s="294"/>
      <c r="K24" s="294"/>
      <c r="L24" s="275"/>
    </row>
    <row r="25" spans="3:14" ht="30" customHeight="1" thickBot="1" x14ac:dyDescent="0.2">
      <c r="C25" s="286">
        <v>6</v>
      </c>
      <c r="D25" s="287"/>
      <c r="E25" s="288"/>
      <c r="F25" s="289"/>
      <c r="G25" s="290"/>
      <c r="H25" s="291"/>
      <c r="I25" s="254" t="str">
        <f t="shared" si="0"/>
        <v/>
      </c>
      <c r="J25" s="294"/>
      <c r="K25" s="294"/>
      <c r="L25" s="276"/>
    </row>
    <row r="26" spans="3:14" ht="30" customHeight="1" thickBot="1" x14ac:dyDescent="0.2">
      <c r="C26" s="286">
        <v>7</v>
      </c>
      <c r="D26" s="287"/>
      <c r="E26" s="288"/>
      <c r="F26" s="289"/>
      <c r="G26" s="290"/>
      <c r="H26" s="291"/>
      <c r="I26" s="254" t="str">
        <f t="shared" si="0"/>
        <v/>
      </c>
      <c r="J26" s="295"/>
      <c r="K26" s="295"/>
      <c r="L26" s="296"/>
    </row>
    <row r="27" spans="3:14" ht="30" customHeight="1" thickBot="1" x14ac:dyDescent="0.2">
      <c r="C27" s="286">
        <v>8</v>
      </c>
      <c r="D27" s="287"/>
      <c r="E27" s="288"/>
      <c r="F27" s="289"/>
      <c r="G27" s="290"/>
      <c r="H27" s="291"/>
      <c r="I27" s="254" t="str">
        <f t="shared" si="0"/>
        <v/>
      </c>
      <c r="J27" s="295"/>
      <c r="K27" s="295"/>
      <c r="L27" s="296"/>
    </row>
    <row r="28" spans="3:14" ht="30" customHeight="1" thickBot="1" x14ac:dyDescent="0.2">
      <c r="C28" s="286">
        <v>9</v>
      </c>
      <c r="D28" s="287"/>
      <c r="E28" s="288"/>
      <c r="F28" s="289"/>
      <c r="G28" s="290"/>
      <c r="H28" s="291"/>
      <c r="I28" s="254" t="str">
        <f t="shared" si="0"/>
        <v/>
      </c>
      <c r="J28" s="295"/>
      <c r="K28" s="295"/>
      <c r="L28" s="296"/>
    </row>
    <row r="29" spans="3:14" ht="30" customHeight="1" thickBot="1" x14ac:dyDescent="0.2">
      <c r="C29" s="286">
        <v>10</v>
      </c>
      <c r="D29" s="287"/>
      <c r="E29" s="288"/>
      <c r="F29" s="289"/>
      <c r="G29" s="290"/>
      <c r="H29" s="291"/>
      <c r="I29" s="254" t="str">
        <f t="shared" si="0"/>
        <v/>
      </c>
      <c r="J29" s="295"/>
      <c r="K29" s="295"/>
      <c r="L29" s="296"/>
    </row>
    <row r="30" spans="3:14" ht="30" customHeight="1" thickBot="1" x14ac:dyDescent="0.2">
      <c r="C30" s="286">
        <v>11</v>
      </c>
      <c r="D30" s="287"/>
      <c r="E30" s="288"/>
      <c r="F30" s="289"/>
      <c r="G30" s="290"/>
      <c r="H30" s="291"/>
      <c r="I30" s="254" t="str">
        <f t="shared" si="0"/>
        <v/>
      </c>
      <c r="J30" s="295"/>
      <c r="K30" s="295"/>
      <c r="L30" s="296"/>
    </row>
    <row r="31" spans="3:14" ht="30" customHeight="1" thickBot="1" x14ac:dyDescent="0.2">
      <c r="C31" s="286">
        <v>12</v>
      </c>
      <c r="D31" s="287"/>
      <c r="E31" s="288"/>
      <c r="F31" s="289"/>
      <c r="G31" s="290"/>
      <c r="H31" s="291"/>
      <c r="I31" s="254" t="str">
        <f t="shared" si="0"/>
        <v/>
      </c>
      <c r="J31" s="295"/>
      <c r="K31" s="295"/>
      <c r="L31" s="296"/>
    </row>
    <row r="32" spans="3:14" ht="30" customHeight="1" thickBot="1" x14ac:dyDescent="0.2">
      <c r="C32" s="286">
        <v>13</v>
      </c>
      <c r="D32" s="287"/>
      <c r="E32" s="288"/>
      <c r="F32" s="289"/>
      <c r="G32" s="290"/>
      <c r="H32" s="291"/>
      <c r="I32" s="254" t="str">
        <f t="shared" si="0"/>
        <v/>
      </c>
      <c r="J32" s="295"/>
      <c r="K32" s="295"/>
      <c r="L32" s="296"/>
    </row>
    <row r="33" spans="3:12" ht="30" customHeight="1" thickBot="1" x14ac:dyDescent="0.2">
      <c r="C33" s="286">
        <v>14</v>
      </c>
      <c r="D33" s="287"/>
      <c r="E33" s="288"/>
      <c r="F33" s="289"/>
      <c r="G33" s="290"/>
      <c r="H33" s="291"/>
      <c r="I33" s="254" t="str">
        <f t="shared" si="0"/>
        <v/>
      </c>
      <c r="J33" s="295"/>
      <c r="K33" s="295"/>
      <c r="L33" s="296"/>
    </row>
    <row r="34" spans="3:12" ht="30" customHeight="1" thickBot="1" x14ac:dyDescent="0.2">
      <c r="C34" s="286">
        <v>15</v>
      </c>
      <c r="D34" s="287"/>
      <c r="E34" s="288"/>
      <c r="F34" s="289"/>
      <c r="G34" s="290"/>
      <c r="H34" s="291"/>
      <c r="I34" s="254" t="str">
        <f t="shared" si="0"/>
        <v/>
      </c>
      <c r="J34" s="295"/>
      <c r="K34" s="295"/>
      <c r="L34" s="296"/>
    </row>
    <row r="35" spans="3:12" ht="17.25" x14ac:dyDescent="0.15">
      <c r="H35" s="297"/>
      <c r="I35" s="298"/>
      <c r="J35" s="298"/>
    </row>
    <row r="36" spans="3:12" ht="17.25" x14ac:dyDescent="0.15">
      <c r="H36" s="297"/>
      <c r="I36" s="298"/>
      <c r="J36" s="298"/>
    </row>
    <row r="37" spans="3:12" ht="17.25" x14ac:dyDescent="0.15">
      <c r="H37" s="297"/>
      <c r="I37" s="298"/>
      <c r="J37" s="298"/>
    </row>
  </sheetData>
  <sheetProtection sheet="1" objects="1" scenarios="1"/>
  <mergeCells count="6">
    <mergeCell ref="H2:I2"/>
    <mergeCell ref="C19:D19"/>
    <mergeCell ref="G5:J5"/>
    <mergeCell ref="C5:D5"/>
    <mergeCell ref="C6:D6"/>
    <mergeCell ref="J18:K18"/>
  </mergeCells>
  <phoneticPr fontId="3"/>
  <printOptions horizontalCentered="1" verticalCentered="1"/>
  <pageMargins left="0.59055118110236227" right="0.59055118110236227" top="0.78740157480314965" bottom="0.59055118110236227" header="0.51181102362204722" footer="0.51181102362204722"/>
  <pageSetup paperSize="9" scale="64" orientation="landscape" r:id="rId1"/>
  <headerFooter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C8E6B-0B64-4CA5-B8C8-390753F0419B}">
  <sheetPr>
    <tabColor rgb="FFFFFF00"/>
  </sheetPr>
  <dimension ref="B2:L95"/>
  <sheetViews>
    <sheetView showGridLines="0" zoomScaleNormal="100" workbookViewId="0">
      <selection activeCell="C2" sqref="C2"/>
    </sheetView>
  </sheetViews>
  <sheetFormatPr defaultRowHeight="13.5" x14ac:dyDescent="0.15"/>
  <cols>
    <col min="1" max="1" width="3.875" customWidth="1"/>
    <col min="2" max="2" width="7.5" customWidth="1"/>
    <col min="3" max="3" width="28.5" customWidth="1"/>
    <col min="4" max="4" width="16.75" customWidth="1"/>
    <col min="5" max="6" width="32.625" customWidth="1"/>
    <col min="7" max="7" width="38.875" customWidth="1"/>
    <col min="8" max="8" width="32.625" customWidth="1"/>
    <col min="9" max="11" width="20.125" customWidth="1"/>
    <col min="12" max="16" width="10.625" customWidth="1"/>
  </cols>
  <sheetData>
    <row r="2" spans="2:8" ht="21" customHeight="1" x14ac:dyDescent="0.15"/>
    <row r="3" spans="2:8" ht="21" customHeight="1" x14ac:dyDescent="0.15">
      <c r="C3" s="110"/>
    </row>
    <row r="4" spans="2:8" ht="29.25" customHeight="1" x14ac:dyDescent="0.15">
      <c r="B4" s="300" t="s">
        <v>209</v>
      </c>
      <c r="C4" s="301"/>
      <c r="D4" s="301"/>
      <c r="E4" s="302"/>
      <c r="G4" s="486" t="s">
        <v>265</v>
      </c>
    </row>
    <row r="5" spans="2:8" ht="24.95" customHeight="1" thickBot="1" x14ac:dyDescent="0.2">
      <c r="B5" s="303" t="s">
        <v>208</v>
      </c>
      <c r="C5" s="303" t="s">
        <v>205</v>
      </c>
      <c r="D5" s="304" t="s">
        <v>202</v>
      </c>
      <c r="E5" s="304" t="s">
        <v>330</v>
      </c>
      <c r="F5" s="304" t="s">
        <v>331</v>
      </c>
      <c r="G5" s="304" t="s">
        <v>332</v>
      </c>
      <c r="H5" s="305" t="s">
        <v>207</v>
      </c>
    </row>
    <row r="6" spans="2:8" ht="21" customHeight="1" thickTop="1" x14ac:dyDescent="0.15">
      <c r="B6" s="930">
        <v>1</v>
      </c>
      <c r="C6" s="933" t="s">
        <v>347</v>
      </c>
      <c r="D6" s="306" t="s">
        <v>203</v>
      </c>
      <c r="E6" s="307"/>
      <c r="F6" s="307">
        <v>2</v>
      </c>
      <c r="G6" s="307"/>
      <c r="H6" s="921" t="s">
        <v>341</v>
      </c>
    </row>
    <row r="7" spans="2:8" ht="21" customHeight="1" x14ac:dyDescent="0.15">
      <c r="B7" s="931"/>
      <c r="C7" s="934"/>
      <c r="D7" s="927" t="s">
        <v>201</v>
      </c>
      <c r="E7" s="308"/>
      <c r="F7" s="308"/>
      <c r="G7" s="308"/>
      <c r="H7" s="922"/>
    </row>
    <row r="8" spans="2:8" ht="39.950000000000003" customHeight="1" x14ac:dyDescent="0.15">
      <c r="B8" s="931"/>
      <c r="C8" s="935"/>
      <c r="D8" s="928"/>
      <c r="E8" s="924"/>
      <c r="F8" s="924" t="s">
        <v>336</v>
      </c>
      <c r="G8" s="924"/>
      <c r="H8" s="922"/>
    </row>
    <row r="9" spans="2:8" ht="69.75" customHeight="1" thickBot="1" x14ac:dyDescent="0.2">
      <c r="B9" s="932"/>
      <c r="C9" s="936"/>
      <c r="D9" s="929"/>
      <c r="E9" s="925"/>
      <c r="F9" s="925"/>
      <c r="G9" s="925"/>
      <c r="H9" s="922"/>
    </row>
    <row r="10" spans="2:8" ht="24.95" customHeight="1" thickTop="1" x14ac:dyDescent="0.15">
      <c r="B10" s="930">
        <v>2</v>
      </c>
      <c r="C10" s="933" t="s">
        <v>348</v>
      </c>
      <c r="D10" s="306" t="s">
        <v>203</v>
      </c>
      <c r="E10" s="307"/>
      <c r="F10" s="307">
        <v>2</v>
      </c>
      <c r="G10" s="307"/>
      <c r="H10" s="921" t="s">
        <v>341</v>
      </c>
    </row>
    <row r="11" spans="2:8" ht="24.95" customHeight="1" x14ac:dyDescent="0.15">
      <c r="B11" s="931"/>
      <c r="C11" s="934"/>
      <c r="D11" s="927" t="s">
        <v>201</v>
      </c>
      <c r="E11" s="308"/>
      <c r="F11" s="308"/>
      <c r="G11" s="308"/>
      <c r="H11" s="922"/>
    </row>
    <row r="12" spans="2:8" ht="39.950000000000003" customHeight="1" x14ac:dyDescent="0.15">
      <c r="B12" s="931"/>
      <c r="C12" s="935"/>
      <c r="D12" s="928"/>
      <c r="E12" s="924"/>
      <c r="F12" s="924" t="s">
        <v>336</v>
      </c>
      <c r="G12" s="924"/>
      <c r="H12" s="922"/>
    </row>
    <row r="13" spans="2:8" ht="69.75" customHeight="1" thickBot="1" x14ac:dyDescent="0.2">
      <c r="B13" s="932"/>
      <c r="C13" s="936"/>
      <c r="D13" s="929"/>
      <c r="E13" s="925"/>
      <c r="F13" s="925"/>
      <c r="G13" s="925"/>
      <c r="H13" s="922"/>
    </row>
    <row r="14" spans="2:8" ht="24.95" customHeight="1" thickTop="1" x14ac:dyDescent="0.15">
      <c r="B14" s="926">
        <v>3</v>
      </c>
      <c r="C14" s="937" t="s">
        <v>349</v>
      </c>
      <c r="D14" s="306" t="s">
        <v>203</v>
      </c>
      <c r="E14" s="307">
        <v>1</v>
      </c>
      <c r="F14" s="307">
        <v>1</v>
      </c>
      <c r="G14" s="307">
        <v>1</v>
      </c>
      <c r="H14" s="921" t="s">
        <v>346</v>
      </c>
    </row>
    <row r="15" spans="2:8" ht="24.95" customHeight="1" x14ac:dyDescent="0.15">
      <c r="B15" s="926"/>
      <c r="C15" s="937"/>
      <c r="D15" s="927" t="s">
        <v>201</v>
      </c>
      <c r="E15" s="308"/>
      <c r="F15" s="308"/>
      <c r="G15" s="308"/>
      <c r="H15" s="922"/>
    </row>
    <row r="16" spans="2:8" ht="39.950000000000003" customHeight="1" x14ac:dyDescent="0.15">
      <c r="B16" s="926"/>
      <c r="C16" s="938"/>
      <c r="D16" s="928"/>
      <c r="E16" s="924" t="s">
        <v>337</v>
      </c>
      <c r="F16" s="924" t="s">
        <v>373</v>
      </c>
      <c r="G16" s="924" t="s">
        <v>338</v>
      </c>
      <c r="H16" s="922"/>
    </row>
    <row r="17" spans="2:12" ht="53.25" customHeight="1" thickBot="1" x14ac:dyDescent="0.2">
      <c r="B17" s="926"/>
      <c r="C17" s="938"/>
      <c r="D17" s="929"/>
      <c r="E17" s="925"/>
      <c r="F17" s="925"/>
      <c r="G17" s="925"/>
      <c r="H17" s="923"/>
    </row>
    <row r="18" spans="2:12" ht="21" customHeight="1" thickTop="1" x14ac:dyDescent="0.15">
      <c r="B18" s="23" t="s">
        <v>204</v>
      </c>
    </row>
    <row r="19" spans="2:12" ht="21" customHeight="1" x14ac:dyDescent="0.15"/>
    <row r="20" spans="2:12" ht="21" customHeight="1" x14ac:dyDescent="0.15">
      <c r="B20" s="188" t="s">
        <v>210</v>
      </c>
    </row>
    <row r="21" spans="2:12" ht="21" customHeight="1" x14ac:dyDescent="0.15">
      <c r="B21" s="110" t="s">
        <v>211</v>
      </c>
    </row>
    <row r="22" spans="2:12" ht="21" customHeight="1" x14ac:dyDescent="0.15">
      <c r="C22" s="23" t="s">
        <v>212</v>
      </c>
    </row>
    <row r="23" spans="2:12" ht="21" customHeight="1" x14ac:dyDescent="0.15">
      <c r="C23" s="23" t="s">
        <v>213</v>
      </c>
    </row>
    <row r="24" spans="2:12" ht="21" customHeight="1" x14ac:dyDescent="0.15">
      <c r="C24" s="23" t="s">
        <v>214</v>
      </c>
      <c r="L24" s="23"/>
    </row>
    <row r="25" spans="2:12" ht="21" customHeight="1" x14ac:dyDescent="0.15">
      <c r="C25" s="170" t="s">
        <v>215</v>
      </c>
      <c r="L25" s="23"/>
    </row>
    <row r="26" spans="2:12" ht="21" customHeight="1" x14ac:dyDescent="0.15">
      <c r="C26" s="23" t="s">
        <v>216</v>
      </c>
      <c r="L26" s="23"/>
    </row>
    <row r="27" spans="2:12" ht="21" customHeight="1" x14ac:dyDescent="0.15">
      <c r="B27" s="23"/>
      <c r="C27" s="23" t="s">
        <v>217</v>
      </c>
      <c r="L27" s="23"/>
    </row>
    <row r="28" spans="2:12" ht="21" customHeight="1" x14ac:dyDescent="0.15">
      <c r="F28" s="182" t="s">
        <v>266</v>
      </c>
      <c r="L28" s="23"/>
    </row>
    <row r="29" spans="2:12" ht="21" customHeight="1" x14ac:dyDescent="0.15">
      <c r="B29" s="110" t="s">
        <v>218</v>
      </c>
      <c r="F29" s="309" t="s">
        <v>208</v>
      </c>
      <c r="G29" s="310" t="s">
        <v>231</v>
      </c>
      <c r="H29" s="310" t="s">
        <v>234</v>
      </c>
      <c r="K29" s="23"/>
    </row>
    <row r="30" spans="2:12" ht="33" customHeight="1" x14ac:dyDescent="0.15">
      <c r="C30" s="23" t="s">
        <v>219</v>
      </c>
      <c r="F30" s="919" t="s">
        <v>339</v>
      </c>
      <c r="G30" s="487" t="s">
        <v>239</v>
      </c>
      <c r="H30" s="311">
        <v>1300000</v>
      </c>
    </row>
    <row r="31" spans="2:12" ht="33" customHeight="1" x14ac:dyDescent="0.15">
      <c r="C31" s="23" t="s">
        <v>350</v>
      </c>
      <c r="F31" s="920"/>
      <c r="G31" s="487" t="s">
        <v>232</v>
      </c>
      <c r="H31" s="311">
        <v>30</v>
      </c>
    </row>
    <row r="32" spans="2:12" ht="33" customHeight="1" x14ac:dyDescent="0.15">
      <c r="C32" s="23" t="s">
        <v>351</v>
      </c>
      <c r="F32" s="919" t="s">
        <v>340</v>
      </c>
      <c r="G32" s="487" t="s">
        <v>230</v>
      </c>
      <c r="H32" s="311">
        <v>88000</v>
      </c>
    </row>
    <row r="33" spans="2:8" ht="33" customHeight="1" x14ac:dyDescent="0.15">
      <c r="C33" s="23" t="s">
        <v>352</v>
      </c>
      <c r="F33" s="920"/>
      <c r="G33" s="487" t="s">
        <v>233</v>
      </c>
      <c r="H33" s="311">
        <v>20</v>
      </c>
    </row>
    <row r="34" spans="2:8" ht="33" customHeight="1" x14ac:dyDescent="0.15">
      <c r="F34" s="309" t="s">
        <v>237</v>
      </c>
      <c r="G34" s="487" t="s">
        <v>238</v>
      </c>
      <c r="H34" s="311">
        <v>20</v>
      </c>
    </row>
    <row r="35" spans="2:8" ht="33" customHeight="1" x14ac:dyDescent="0.15">
      <c r="F35" s="309" t="s">
        <v>271</v>
      </c>
      <c r="G35" s="488" t="s">
        <v>272</v>
      </c>
      <c r="H35" s="311">
        <v>40</v>
      </c>
    </row>
    <row r="36" spans="2:8" ht="33" customHeight="1" x14ac:dyDescent="0.15">
      <c r="F36" s="309" t="s">
        <v>273</v>
      </c>
      <c r="G36" s="488" t="s">
        <v>275</v>
      </c>
      <c r="H36" s="311">
        <v>480000</v>
      </c>
    </row>
    <row r="37" spans="2:8" ht="33" customHeight="1" x14ac:dyDescent="0.15">
      <c r="F37" s="309" t="s">
        <v>274</v>
      </c>
      <c r="G37" s="488" t="s">
        <v>276</v>
      </c>
      <c r="H37" s="311">
        <v>430000</v>
      </c>
    </row>
    <row r="38" spans="2:8" ht="21" customHeight="1" x14ac:dyDescent="0.15">
      <c r="B38" s="110" t="s">
        <v>223</v>
      </c>
    </row>
    <row r="39" spans="2:8" ht="21" customHeight="1" x14ac:dyDescent="0.15">
      <c r="C39" s="23" t="s">
        <v>220</v>
      </c>
    </row>
    <row r="40" spans="2:8" ht="21" customHeight="1" x14ac:dyDescent="0.15">
      <c r="C40" s="23" t="s">
        <v>224</v>
      </c>
    </row>
    <row r="41" spans="2:8" ht="21" customHeight="1" x14ac:dyDescent="0.15">
      <c r="C41" s="23" t="s">
        <v>221</v>
      </c>
    </row>
    <row r="42" spans="2:8" ht="21" customHeight="1" x14ac:dyDescent="0.15">
      <c r="C42" s="23" t="s">
        <v>222</v>
      </c>
    </row>
    <row r="43" spans="2:8" ht="21" customHeight="1" x14ac:dyDescent="0.15"/>
    <row r="44" spans="2:8" ht="21" customHeight="1" x14ac:dyDescent="0.15">
      <c r="B44" s="110" t="s">
        <v>225</v>
      </c>
    </row>
    <row r="45" spans="2:8" ht="21" customHeight="1" x14ac:dyDescent="0.15">
      <c r="C45" s="23" t="s">
        <v>226</v>
      </c>
    </row>
    <row r="46" spans="2:8" ht="21" customHeight="1" x14ac:dyDescent="0.15">
      <c r="C46" s="23" t="s">
        <v>227</v>
      </c>
    </row>
    <row r="47" spans="2:8" ht="21" customHeight="1" x14ac:dyDescent="0.15">
      <c r="C47" s="23" t="s">
        <v>228</v>
      </c>
    </row>
    <row r="48" spans="2:8" ht="21" customHeight="1" x14ac:dyDescent="0.15">
      <c r="C48" s="23" t="s">
        <v>229</v>
      </c>
    </row>
    <row r="49" spans="3:3" ht="9.75" customHeight="1" x14ac:dyDescent="0.15"/>
    <row r="50" spans="3:3" ht="39.75" customHeight="1" x14ac:dyDescent="0.15">
      <c r="C50" s="132" t="s">
        <v>267</v>
      </c>
    </row>
    <row r="51" spans="3:3" ht="30" customHeight="1" x14ac:dyDescent="0.15">
      <c r="C51" s="312" t="s">
        <v>268</v>
      </c>
    </row>
    <row r="52" spans="3:3" ht="21" customHeight="1" x14ac:dyDescent="0.15">
      <c r="C52" s="23"/>
    </row>
    <row r="53" spans="3:3" ht="21" customHeight="1" x14ac:dyDescent="0.15">
      <c r="C53" s="23"/>
    </row>
    <row r="54" spans="3:3" ht="21" customHeight="1" x14ac:dyDescent="0.15"/>
    <row r="55" spans="3:3" ht="21" customHeight="1" x14ac:dyDescent="0.15"/>
    <row r="56" spans="3:3" ht="21" customHeight="1" x14ac:dyDescent="0.15"/>
    <row r="57" spans="3:3" ht="21" customHeight="1" x14ac:dyDescent="0.15"/>
    <row r="58" spans="3:3" ht="21" customHeight="1" x14ac:dyDescent="0.15"/>
    <row r="59" spans="3:3" ht="21" customHeight="1" x14ac:dyDescent="0.15"/>
    <row r="60" spans="3:3" ht="21" customHeight="1" x14ac:dyDescent="0.15"/>
    <row r="61" spans="3:3" ht="21" customHeight="1" x14ac:dyDescent="0.15"/>
    <row r="62" spans="3:3" ht="21" customHeight="1" x14ac:dyDescent="0.15"/>
    <row r="63" spans="3:3" ht="21" customHeight="1" x14ac:dyDescent="0.15"/>
    <row r="64" spans="3:3" ht="21" customHeight="1" x14ac:dyDescent="0.15"/>
    <row r="65" customFormat="1" ht="21" customHeight="1" x14ac:dyDescent="0.15"/>
    <row r="66" customFormat="1" ht="21" customHeight="1" x14ac:dyDescent="0.15"/>
    <row r="67" customFormat="1" ht="21" customHeight="1" x14ac:dyDescent="0.15"/>
    <row r="68" customFormat="1" ht="21" customHeight="1" x14ac:dyDescent="0.15"/>
    <row r="69" customFormat="1" ht="21" customHeight="1" x14ac:dyDescent="0.15"/>
    <row r="70" customFormat="1" ht="21" customHeight="1" x14ac:dyDescent="0.15"/>
    <row r="71" customFormat="1" ht="21" customHeight="1" x14ac:dyDescent="0.15"/>
    <row r="72" customFormat="1" ht="21" customHeight="1" x14ac:dyDescent="0.15"/>
    <row r="73" customFormat="1" ht="21" customHeight="1" x14ac:dyDescent="0.15"/>
    <row r="74" customFormat="1" ht="21" customHeight="1" x14ac:dyDescent="0.15"/>
    <row r="75" customFormat="1" ht="21" customHeight="1" x14ac:dyDescent="0.15"/>
    <row r="76" customFormat="1" ht="21" customHeight="1" x14ac:dyDescent="0.15"/>
    <row r="77" customFormat="1" ht="21" customHeight="1" x14ac:dyDescent="0.15"/>
    <row r="78" customFormat="1" ht="21" customHeight="1" x14ac:dyDescent="0.15"/>
    <row r="79" customFormat="1" ht="21" customHeight="1" x14ac:dyDescent="0.15"/>
    <row r="80" customFormat="1" ht="21" customHeight="1" x14ac:dyDescent="0.15"/>
    <row r="81" customFormat="1" ht="21" customHeight="1" x14ac:dyDescent="0.15"/>
    <row r="82" customFormat="1" ht="21" customHeight="1" x14ac:dyDescent="0.15"/>
    <row r="83" customFormat="1" ht="21" customHeight="1" x14ac:dyDescent="0.15"/>
    <row r="84" customFormat="1" ht="21" customHeight="1" x14ac:dyDescent="0.15"/>
    <row r="85" customFormat="1" ht="21" customHeight="1" x14ac:dyDescent="0.15"/>
    <row r="86" customFormat="1" ht="21" customHeight="1" x14ac:dyDescent="0.15"/>
    <row r="87" customFormat="1" ht="21" customHeight="1" x14ac:dyDescent="0.15"/>
    <row r="88" customFormat="1" ht="21" customHeight="1" x14ac:dyDescent="0.15"/>
    <row r="89" customFormat="1" ht="21" customHeight="1" x14ac:dyDescent="0.15"/>
    <row r="90" customFormat="1" ht="21" customHeight="1" x14ac:dyDescent="0.15"/>
    <row r="91" customFormat="1" ht="21" customHeight="1" x14ac:dyDescent="0.15"/>
    <row r="92" customFormat="1" ht="21" customHeight="1" x14ac:dyDescent="0.15"/>
    <row r="93" customFormat="1" ht="21" customHeight="1" x14ac:dyDescent="0.15"/>
    <row r="94" customFormat="1" ht="21" customHeight="1" x14ac:dyDescent="0.15"/>
    <row r="95" customFormat="1" ht="21" customHeight="1" x14ac:dyDescent="0.15"/>
  </sheetData>
  <sheetProtection sheet="1" objects="1" scenarios="1"/>
  <mergeCells count="23">
    <mergeCell ref="B14:B17"/>
    <mergeCell ref="E16:E17"/>
    <mergeCell ref="F16:F17"/>
    <mergeCell ref="G16:G17"/>
    <mergeCell ref="D7:D9"/>
    <mergeCell ref="D11:D13"/>
    <mergeCell ref="B6:B9"/>
    <mergeCell ref="C6:C9"/>
    <mergeCell ref="E8:E9"/>
    <mergeCell ref="C10:C13"/>
    <mergeCell ref="B10:B13"/>
    <mergeCell ref="E12:E13"/>
    <mergeCell ref="C14:C17"/>
    <mergeCell ref="D15:D17"/>
    <mergeCell ref="F8:F9"/>
    <mergeCell ref="F12:F13"/>
    <mergeCell ref="F30:F31"/>
    <mergeCell ref="F32:F33"/>
    <mergeCell ref="H14:H17"/>
    <mergeCell ref="H6:H9"/>
    <mergeCell ref="H10:H13"/>
    <mergeCell ref="G8:G9"/>
    <mergeCell ref="G12:G13"/>
  </mergeCells>
  <phoneticPr fontId="3"/>
  <pageMargins left="0.70866141732283472" right="0.70866141732283472" top="0.74803149606299213" bottom="0.74803149606299213" header="0.31496062992125984" footer="0.31496062992125984"/>
  <pageSetup paperSize="9" scale="57" orientation="landscape" verticalDpi="0"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A3022-67D6-49A7-B3A9-FC024143AC6F}">
  <sheetPr>
    <tabColor rgb="FFFF6600"/>
    <pageSetUpPr autoPageBreaks="0"/>
  </sheetPr>
  <dimension ref="B1:BH47"/>
  <sheetViews>
    <sheetView showGridLines="0" zoomScaleNormal="100" zoomScaleSheetLayoutView="80" workbookViewId="0"/>
  </sheetViews>
  <sheetFormatPr defaultRowHeight="14.25" x14ac:dyDescent="0.15"/>
  <cols>
    <col min="1" max="1" width="2.625" style="17" customWidth="1"/>
    <col min="2" max="2" width="6" style="17" customWidth="1"/>
    <col min="3" max="3" width="17.625" style="17" customWidth="1"/>
    <col min="4" max="4" width="9.375" style="17" hidden="1" customWidth="1"/>
    <col min="5" max="5" width="17.625" style="17" customWidth="1"/>
    <col min="6" max="6" width="11.875" style="17" customWidth="1"/>
    <col min="7" max="7" width="17.625" style="17" customWidth="1"/>
    <col min="8" max="8" width="9.625" style="17" customWidth="1"/>
    <col min="9" max="9" width="11.625" style="17" customWidth="1"/>
    <col min="10" max="10" width="14.625" style="17" customWidth="1"/>
    <col min="11" max="12" width="11.625" style="17" customWidth="1"/>
    <col min="13" max="13" width="14.75" style="17" customWidth="1"/>
    <col min="14" max="14" width="12.375" style="17" customWidth="1"/>
    <col min="15" max="20" width="14.625" style="17" customWidth="1"/>
    <col min="21" max="21" width="14" style="17" customWidth="1"/>
    <col min="22" max="22" width="14.75" style="17" customWidth="1"/>
    <col min="23" max="23" width="12" style="17" customWidth="1"/>
    <col min="24" max="25" width="14.25" style="17" customWidth="1"/>
    <col min="26" max="26" width="13.25" style="17" customWidth="1"/>
    <col min="27" max="27" width="11.625" style="17" customWidth="1"/>
    <col min="28" max="30" width="14.375" style="17" customWidth="1"/>
    <col min="31" max="31" width="11.625" style="17" customWidth="1"/>
    <col min="32" max="32" width="12.375" style="17" customWidth="1"/>
    <col min="33" max="33" width="16.25" style="17" customWidth="1"/>
    <col min="34" max="34" width="12.375" style="17" customWidth="1"/>
    <col min="35" max="40" width="14.875" style="17" customWidth="1"/>
    <col min="41" max="42" width="15.125" style="17" customWidth="1"/>
    <col min="43" max="43" width="19.625" style="17" customWidth="1"/>
    <col min="44" max="45" width="14.625" style="17" customWidth="1"/>
    <col min="46" max="47" width="15.625" style="17" customWidth="1"/>
    <col min="48" max="48" width="14.625" style="17" customWidth="1"/>
    <col min="49" max="49" width="17.875" style="17" customWidth="1"/>
    <col min="50" max="50" width="12.25" style="17" customWidth="1"/>
    <col min="51" max="52" width="17.625" style="17" customWidth="1"/>
    <col min="53" max="53" width="12" style="17" customWidth="1"/>
    <col min="54" max="54" width="0.25" style="17" customWidth="1"/>
    <col min="55" max="55" width="25.375" style="17" customWidth="1"/>
    <col min="56" max="59" width="25.75" style="17" customWidth="1"/>
    <col min="60" max="63" width="28.625" style="17" customWidth="1"/>
    <col min="64" max="65" width="15.5" style="17" customWidth="1"/>
    <col min="66" max="16384" width="9" style="17"/>
  </cols>
  <sheetData>
    <row r="1" spans="2:60" s="461" customFormat="1" ht="12" thickBot="1" x14ac:dyDescent="0.2">
      <c r="C1" s="461">
        <v>1</v>
      </c>
      <c r="D1" s="461">
        <v>2</v>
      </c>
      <c r="E1" s="461">
        <v>3</v>
      </c>
      <c r="F1" s="461">
        <v>4</v>
      </c>
      <c r="G1" s="461">
        <v>5</v>
      </c>
      <c r="H1" s="461">
        <v>6</v>
      </c>
      <c r="I1" s="461">
        <v>7</v>
      </c>
      <c r="J1" s="461">
        <v>8</v>
      </c>
      <c r="K1" s="461">
        <v>9</v>
      </c>
      <c r="L1" s="461">
        <v>10</v>
      </c>
      <c r="M1" s="461">
        <v>11</v>
      </c>
      <c r="N1" s="461">
        <v>12</v>
      </c>
      <c r="O1" s="461">
        <v>13</v>
      </c>
      <c r="P1" s="461">
        <v>14</v>
      </c>
      <c r="Q1" s="461">
        <v>15</v>
      </c>
      <c r="R1" s="461">
        <v>16</v>
      </c>
      <c r="S1" s="461">
        <v>17</v>
      </c>
      <c r="T1" s="461">
        <v>18</v>
      </c>
      <c r="U1" s="461">
        <v>19</v>
      </c>
      <c r="V1" s="461">
        <v>20</v>
      </c>
      <c r="W1" s="461">
        <v>21</v>
      </c>
      <c r="X1" s="461">
        <v>22</v>
      </c>
      <c r="Y1" s="461">
        <v>23</v>
      </c>
      <c r="Z1" s="461">
        <v>24</v>
      </c>
      <c r="AA1" s="461">
        <v>25</v>
      </c>
      <c r="AB1" s="461">
        <v>26</v>
      </c>
      <c r="AC1" s="461">
        <v>27</v>
      </c>
      <c r="AD1" s="461">
        <v>28</v>
      </c>
      <c r="AE1" s="461">
        <v>29</v>
      </c>
      <c r="AF1" s="461">
        <v>30</v>
      </c>
      <c r="AG1" s="461">
        <v>31</v>
      </c>
      <c r="AH1" s="461">
        <v>32</v>
      </c>
      <c r="AI1" s="461">
        <v>33</v>
      </c>
      <c r="AJ1" s="461">
        <v>34</v>
      </c>
      <c r="AK1" s="461">
        <v>35</v>
      </c>
      <c r="AL1" s="461">
        <v>36</v>
      </c>
      <c r="AM1" s="461">
        <v>37</v>
      </c>
      <c r="AN1" s="461">
        <v>38</v>
      </c>
      <c r="AO1" s="461">
        <v>39</v>
      </c>
      <c r="AP1" s="461">
        <v>40</v>
      </c>
      <c r="AQ1" s="461">
        <v>41</v>
      </c>
      <c r="AR1" s="461">
        <v>42</v>
      </c>
      <c r="AS1" s="461">
        <v>43</v>
      </c>
      <c r="AT1" s="461">
        <v>44</v>
      </c>
      <c r="AU1" s="461">
        <v>45</v>
      </c>
      <c r="AV1" s="461">
        <v>46</v>
      </c>
      <c r="AW1" s="461">
        <v>47</v>
      </c>
    </row>
    <row r="2" spans="2:60" ht="38.25" customHeight="1" thickBot="1" x14ac:dyDescent="0.25">
      <c r="C2" s="462" t="s">
        <v>344</v>
      </c>
      <c r="D2" s="86"/>
      <c r="K2" s="467">
        <f>IF('1-1.従業員データ給与改定案入力画面'!$N$2="","",IF(OR('1-1.従業員データ給与改定案入力画面'!$N$2=2,'1-1.従業員データ給与改定案入力画面'!$N$2=1),"",'1-1.従業員データ給与改定案入力画面'!$N$2))</f>
        <v>3</v>
      </c>
      <c r="N2" s="183"/>
      <c r="AA2" s="125" t="s">
        <v>27</v>
      </c>
      <c r="AC2" s="126" t="s">
        <v>28</v>
      </c>
    </row>
    <row r="3" spans="2:60" ht="19.5" customHeight="1" thickBot="1" x14ac:dyDescent="0.2">
      <c r="E3" s="179" t="s">
        <v>112</v>
      </c>
      <c r="F3" s="179"/>
      <c r="G3" s="179"/>
      <c r="J3" s="180"/>
      <c r="K3" s="180"/>
      <c r="L3" s="180"/>
      <c r="O3" s="167"/>
      <c r="AG3" s="19"/>
      <c r="AH3" s="19"/>
      <c r="AI3" s="19"/>
      <c r="AJ3" s="19"/>
      <c r="AK3" s="19"/>
      <c r="AY3" s="184"/>
      <c r="AZ3" s="184"/>
      <c r="BA3" s="184"/>
      <c r="BB3" s="184"/>
      <c r="BC3" s="313"/>
      <c r="BD3" s="313" t="s">
        <v>193</v>
      </c>
      <c r="BE3" s="464">
        <v>2</v>
      </c>
      <c r="BF3" s="464">
        <v>3</v>
      </c>
      <c r="BG3" s="464">
        <v>4</v>
      </c>
      <c r="BH3" s="468"/>
    </row>
    <row r="4" spans="2:60" ht="24.95" customHeight="1" thickBot="1" x14ac:dyDescent="0.2">
      <c r="C4" s="30" t="s">
        <v>79</v>
      </c>
      <c r="E4" s="447">
        <v>102</v>
      </c>
      <c r="F4" s="807"/>
      <c r="G4" s="807"/>
      <c r="I4" s="175"/>
      <c r="J4" s="972" t="s">
        <v>255</v>
      </c>
      <c r="K4" s="970" t="s">
        <v>256</v>
      </c>
      <c r="L4" s="970" t="s">
        <v>257</v>
      </c>
      <c r="M4" s="971" t="s">
        <v>163</v>
      </c>
      <c r="Q4" s="176"/>
      <c r="R4" s="176"/>
      <c r="S4" s="176"/>
      <c r="T4" s="176"/>
      <c r="U4" s="24"/>
      <c r="X4" s="93" t="s">
        <v>119</v>
      </c>
      <c r="AA4" s="939" t="s">
        <v>21</v>
      </c>
      <c r="AB4" s="940"/>
      <c r="AC4" s="940"/>
      <c r="AD4" s="940"/>
      <c r="AE4" s="941"/>
      <c r="AG4" s="18"/>
      <c r="AH4" s="18"/>
      <c r="AJ4" s="93" t="s">
        <v>120</v>
      </c>
      <c r="AK4" s="18"/>
      <c r="AQ4" s="93" t="s">
        <v>118</v>
      </c>
      <c r="AS4" s="157" t="s">
        <v>161</v>
      </c>
      <c r="AW4" s="93" t="s">
        <v>269</v>
      </c>
      <c r="AX4" s="93"/>
      <c r="AY4" s="184"/>
      <c r="AZ4" s="184"/>
      <c r="BA4" s="184"/>
      <c r="BB4" s="184"/>
      <c r="BC4" s="185" t="s">
        <v>198</v>
      </c>
      <c r="BD4" s="185" t="s">
        <v>208</v>
      </c>
      <c r="BE4" s="200" t="s">
        <v>333</v>
      </c>
      <c r="BF4" s="200" t="s">
        <v>334</v>
      </c>
      <c r="BG4" s="200" t="s">
        <v>335</v>
      </c>
    </row>
    <row r="5" spans="2:60" ht="30" customHeight="1" thickBot="1" x14ac:dyDescent="0.2">
      <c r="C5" s="942" t="s">
        <v>111</v>
      </c>
      <c r="D5" s="943"/>
      <c r="E5" s="944"/>
      <c r="F5" s="176"/>
      <c r="G5" s="176"/>
      <c r="I5" s="176"/>
      <c r="J5" s="973"/>
      <c r="K5" s="970"/>
      <c r="L5" s="970"/>
      <c r="M5" s="971"/>
      <c r="Q5" s="176"/>
      <c r="R5" s="176"/>
      <c r="S5" s="176"/>
      <c r="T5" s="176"/>
      <c r="U5" s="24"/>
      <c r="X5" s="93"/>
      <c r="AA5" s="117" t="s">
        <v>136</v>
      </c>
      <c r="AB5" s="118" t="s">
        <v>137</v>
      </c>
      <c r="AC5" s="33" t="s">
        <v>33</v>
      </c>
      <c r="AD5" s="33" t="s">
        <v>34</v>
      </c>
      <c r="AE5" s="57" t="s">
        <v>108</v>
      </c>
      <c r="AG5" s="18"/>
      <c r="AH5" s="18"/>
      <c r="AJ5" s="93"/>
      <c r="AK5" s="18"/>
      <c r="AQ5" s="93"/>
      <c r="AS5" s="953" t="s">
        <v>142</v>
      </c>
      <c r="AT5" s="954"/>
      <c r="AW5" s="93"/>
      <c r="AX5" s="93"/>
      <c r="AY5" s="184"/>
      <c r="AZ5" s="184"/>
      <c r="BA5" s="186" t="s">
        <v>192</v>
      </c>
      <c r="BC5" s="200" t="s">
        <v>325</v>
      </c>
      <c r="BD5" s="185">
        <v>1</v>
      </c>
      <c r="BE5" s="185"/>
      <c r="BF5" s="185">
        <v>2</v>
      </c>
      <c r="BG5" s="185"/>
    </row>
    <row r="6" spans="2:60" ht="28.5" customHeight="1" thickBot="1" x14ac:dyDescent="0.2">
      <c r="C6" s="55" t="str">
        <f>IF($E$4="","",VLOOKUP($E$4,'1-1.従業員データ給与改定案入力画面'!$C$10:$AL$1010,2,0))</f>
        <v>ＡＢ</v>
      </c>
      <c r="E6" s="30" t="s">
        <v>32</v>
      </c>
      <c r="F6" s="176"/>
      <c r="G6" s="176"/>
      <c r="I6" s="176"/>
      <c r="J6" s="29">
        <f>IF($E$4="","",VLOOKUP($E$4,'1-1.従業員データ給与改定案入力画面'!$C$10:$AL$1010,31,0)-VLOOKUP($E$4,'1-1.従業員データ給与改定案入力画面'!$C$10:$AL$1010,19,0))</f>
        <v>2000</v>
      </c>
      <c r="K6" s="29">
        <f>IF($E$4="","",VLOOKUP($E$4,'1-1.従業員データ給与改定案入力画面'!$C$10:$AL$1010,32,0)-VLOOKUP($E$4,'1-1.従業員データ給与改定案入力画面'!$C$10:$AL$1010,19,0))</f>
        <v>4000</v>
      </c>
      <c r="L6" s="29">
        <f>IF($E$4="","",VLOOKUP($E$4,'1-1.従業員データ給与改定案入力画面'!$C$10:$AL$1010,30,0)-VLOOKUP($E$4,'1-1.従業員データ給与改定案入力画面'!$C$10:$AL$1010,19,0))</f>
        <v>0</v>
      </c>
      <c r="M6" s="29">
        <f>IF($E$4="","",VLOOKUP($E$4,'1-1.従業員データ給与改定案入力画面'!$C$10:$AL$1010,36,0))</f>
        <v>0</v>
      </c>
      <c r="Q6" s="197"/>
      <c r="R6" s="197"/>
      <c r="S6" s="197"/>
      <c r="T6" s="197"/>
      <c r="U6" s="197"/>
      <c r="AA6" s="114">
        <f>'2-2.保険料・地方税等入力画面'!$G$7</f>
        <v>0.10290000000000001</v>
      </c>
      <c r="AB6" s="115">
        <f>'2-2.保険料・地方税等入力画面'!$H$7</f>
        <v>0.1211</v>
      </c>
      <c r="AC6" s="115">
        <f>'2-2.保険料・地方税等入力画面'!$I$7</f>
        <v>1.8199999999999994E-2</v>
      </c>
      <c r="AD6" s="115">
        <f>'2-2.保険料・地方税等入力画面'!$J$7</f>
        <v>0.183</v>
      </c>
      <c r="AE6" s="116">
        <f>'2-2.保険料・地方税等入力画面'!$E$5</f>
        <v>1.55E-2</v>
      </c>
      <c r="AG6" s="18"/>
      <c r="AH6" s="18"/>
      <c r="AJ6" s="18"/>
      <c r="AK6" s="18"/>
      <c r="AS6" s="315" t="s">
        <v>81</v>
      </c>
      <c r="AT6" s="315" t="s">
        <v>65</v>
      </c>
      <c r="AY6" s="184"/>
      <c r="AZ6" s="184"/>
      <c r="BA6" s="186" t="s">
        <v>194</v>
      </c>
      <c r="BC6" s="200" t="s">
        <v>196</v>
      </c>
      <c r="BD6" s="185">
        <v>2</v>
      </c>
      <c r="BE6" s="185"/>
      <c r="BF6" s="185">
        <v>2</v>
      </c>
      <c r="BG6" s="185"/>
    </row>
    <row r="7" spans="2:60" ht="21" customHeight="1" thickBot="1" x14ac:dyDescent="0.25">
      <c r="C7" s="31" t="s">
        <v>171</v>
      </c>
      <c r="E7" s="32">
        <f>IF($E$4="","",VLOOKUP($E$4,'1-1.従業員データ給与改定案入力画面'!$C$10:$AL$1010,11,0))</f>
        <v>5</v>
      </c>
      <c r="F7" s="177"/>
      <c r="G7" s="125" t="s">
        <v>289</v>
      </c>
      <c r="I7" s="167"/>
      <c r="J7" s="34"/>
      <c r="K7" s="34"/>
      <c r="L7" s="34"/>
      <c r="M7" s="701"/>
      <c r="AA7" s="154">
        <f>AA6/2</f>
        <v>5.1450000000000003E-2</v>
      </c>
      <c r="AB7" s="155">
        <f>AB6/2</f>
        <v>6.055E-2</v>
      </c>
      <c r="AC7" s="155">
        <f>AC6/2</f>
        <v>9.099999999999997E-3</v>
      </c>
      <c r="AD7" s="155">
        <f>AD6/2</f>
        <v>9.1499999999999998E-2</v>
      </c>
      <c r="AE7" s="156">
        <f>'2-2.保険料・地方税等入力画面'!$E$6</f>
        <v>6.0000000000000001E-3</v>
      </c>
      <c r="AG7" s="18"/>
      <c r="AH7" s="18"/>
      <c r="AI7" s="18"/>
      <c r="AJ7" s="18"/>
      <c r="AK7" s="18"/>
      <c r="AQ7" s="316" t="s">
        <v>130</v>
      </c>
      <c r="AR7" s="19"/>
      <c r="AS7" s="122">
        <f>IF($AQ$8="","",VLOOKUP($AQ$8,'2-2.保険料・地方税等入力画面'!$D$20:$K$79,7,0))</f>
        <v>965000</v>
      </c>
      <c r="AT7" s="122">
        <f>IF($AQ$8="","",VLOOKUP($AQ$8,'2-2.保険料・地方税等入力画面'!$D$20:$K$79,8,0))</f>
        <v>1000000</v>
      </c>
      <c r="AY7" s="184"/>
      <c r="AZ7" s="184"/>
      <c r="BA7" s="186" t="s">
        <v>195</v>
      </c>
      <c r="BC7" s="200" t="s">
        <v>197</v>
      </c>
      <c r="BD7" s="185">
        <v>3</v>
      </c>
      <c r="BE7" s="185">
        <v>1</v>
      </c>
      <c r="BF7" s="185"/>
      <c r="BG7" s="185">
        <v>1</v>
      </c>
    </row>
    <row r="8" spans="2:60" ht="21" customHeight="1" thickBot="1" x14ac:dyDescent="0.2">
      <c r="C8" s="31" t="s">
        <v>103</v>
      </c>
      <c r="E8" s="32">
        <f>IF($E$4="","",VLOOKUP($E$4,'1-1.従業員データ給与改定案入力画面'!$C$10:$AL$1010,12,0))</f>
        <v>4</v>
      </c>
      <c r="F8" s="177"/>
      <c r="G8" s="177"/>
      <c r="H8" s="434"/>
      <c r="I8" s="435"/>
      <c r="J8" s="434"/>
      <c r="K8" s="34"/>
      <c r="L8" s="34"/>
      <c r="M8" s="977" t="s">
        <v>300</v>
      </c>
      <c r="N8" s="978"/>
      <c r="S8" s="974" t="s">
        <v>109</v>
      </c>
      <c r="T8" s="975"/>
      <c r="U8" s="976"/>
      <c r="AI8" s="18"/>
      <c r="AQ8" s="317" t="str">
        <f>IF($E$4="","",VLOOKUP($E$4,'1-1.従業員データ給与改定案入力画面'!$C$10:$AL$1010,3,0))</f>
        <v>生駒市</v>
      </c>
      <c r="AS8" s="707" t="s">
        <v>64</v>
      </c>
      <c r="AT8" s="707"/>
      <c r="AU8" s="708" t="s">
        <v>65</v>
      </c>
      <c r="AV8" s="709"/>
      <c r="AW8" s="93"/>
    </row>
    <row r="9" spans="2:60" ht="21" customHeight="1" thickBot="1" x14ac:dyDescent="0.2">
      <c r="C9" s="31" t="s">
        <v>296</v>
      </c>
      <c r="E9" s="380">
        <f>IF($E$4="","",VLOOKUP($E$4,'1-1.従業員データ給与改定案入力画面'!$C$10:$AL$1010,15,0))</f>
        <v>1000</v>
      </c>
      <c r="F9" s="178"/>
      <c r="G9" s="178"/>
      <c r="H9" s="434"/>
      <c r="I9" s="434"/>
      <c r="J9" s="404"/>
      <c r="K9" s="19"/>
      <c r="L9" s="19"/>
      <c r="M9" s="371">
        <v>1000000</v>
      </c>
      <c r="N9" s="808" t="s">
        <v>301</v>
      </c>
      <c r="S9" s="959" t="s">
        <v>199</v>
      </c>
      <c r="T9" s="960"/>
      <c r="U9" s="466">
        <f>IF($E$4="","",IF($K$2="","",IF($K$2=3,VLOOKUP($K$2,$BD$5:$BG$7,2,0),IF($K$2=2,VLOOKUP($K$2,$BD$5:$BG$7,3,0),IF($K$2=1,VLOOKUP($K$2,$BD$5:$BG$7,4,0),"")))))</f>
        <v>1</v>
      </c>
      <c r="V9" s="334" t="s">
        <v>200</v>
      </c>
      <c r="AF9" s="962" t="s">
        <v>113</v>
      </c>
      <c r="AI9" s="18"/>
      <c r="AM9" s="26"/>
      <c r="AS9" s="318" t="s">
        <v>146</v>
      </c>
      <c r="AT9" s="318" t="s">
        <v>145</v>
      </c>
      <c r="AU9" s="314" t="s">
        <v>67</v>
      </c>
      <c r="AV9" s="318" t="s">
        <v>145</v>
      </c>
      <c r="AW9" s="93"/>
    </row>
    <row r="10" spans="2:60" ht="21" customHeight="1" thickBot="1" x14ac:dyDescent="0.2">
      <c r="C10" s="30" t="s">
        <v>19</v>
      </c>
      <c r="E10" s="32">
        <f>IF($E$4="","",VLOOKUP($E$4,'1-1.従業員データ給与改定案入力画面'!$C$10:$AL$1010,7,0))</f>
        <v>26</v>
      </c>
      <c r="F10" s="177"/>
      <c r="G10" s="966" t="s">
        <v>343</v>
      </c>
      <c r="H10" s="967"/>
      <c r="I10" s="434"/>
      <c r="J10" s="809"/>
      <c r="K10" s="196"/>
      <c r="L10" s="196"/>
      <c r="M10" s="371">
        <v>1000000</v>
      </c>
      <c r="N10" s="810" t="s">
        <v>302</v>
      </c>
      <c r="S10" s="959" t="s">
        <v>123</v>
      </c>
      <c r="T10" s="961"/>
      <c r="U10" s="465">
        <f>$BG$11</f>
        <v>1300000</v>
      </c>
      <c r="V10" s="58" t="s">
        <v>143</v>
      </c>
      <c r="AD10" s="109"/>
      <c r="AE10" s="24"/>
      <c r="AF10" s="963"/>
      <c r="AI10" s="18"/>
      <c r="AJ10" s="18"/>
      <c r="AS10" s="319">
        <f>IF($AQ$8="","",VLOOKUP($AQ$8,'2-2.保険料・地方税等入力画面'!$D$20:$K$79,2,0))</f>
        <v>2000</v>
      </c>
      <c r="AT10" s="320">
        <f>IF($AQ$8="","",VLOOKUP($AQ$8,'2-2.保険料・地方税等入力画面'!$D$20:$K$79,3,0))</f>
        <v>3500</v>
      </c>
      <c r="AU10" s="321">
        <f>IF($AQ$8="","",VLOOKUP($AQ$8,'2-2.保険料・地方税等入力画面'!$D$20:$K$79,4,0))</f>
        <v>0.04</v>
      </c>
      <c r="AV10" s="322">
        <f>IF($AQ$8="","",VLOOKUP($AQ$8,'2-2.保険料・地方税等入力画面'!$D$20:$K$79,5,0))</f>
        <v>0.06</v>
      </c>
      <c r="AW10" s="93"/>
      <c r="BD10" s="200" t="s">
        <v>208</v>
      </c>
      <c r="BE10" s="946" t="s">
        <v>231</v>
      </c>
      <c r="BF10" s="946"/>
      <c r="BG10" s="199" t="s">
        <v>234</v>
      </c>
    </row>
    <row r="11" spans="2:60" ht="21" customHeight="1" thickBot="1" x14ac:dyDescent="0.2">
      <c r="C11" s="30" t="s">
        <v>148</v>
      </c>
      <c r="E11" s="32" t="str">
        <f>IF($E$4="","",VLOOKUP($E$4,'1-1.従業員データ給与改定案入力画面'!$C$10:$AL$1010,3,0))</f>
        <v>生駒市</v>
      </c>
      <c r="F11" s="177"/>
      <c r="G11" s="968"/>
      <c r="H11" s="969"/>
      <c r="I11" s="434"/>
      <c r="J11" s="809"/>
      <c r="M11" s="371">
        <v>1030000</v>
      </c>
      <c r="N11" s="811" t="s">
        <v>304</v>
      </c>
      <c r="S11" s="957" t="s">
        <v>122</v>
      </c>
      <c r="T11" s="958"/>
      <c r="U11" s="463">
        <f>$BG$12</f>
        <v>30</v>
      </c>
      <c r="V11" s="58" t="s">
        <v>270</v>
      </c>
      <c r="AA11" s="195"/>
      <c r="AD11" s="196"/>
      <c r="AF11" s="192">
        <f>$BG$15</f>
        <v>20</v>
      </c>
      <c r="AJ11" s="18"/>
      <c r="AV11" s="131" t="s">
        <v>147</v>
      </c>
      <c r="BD11" s="951" t="s">
        <v>235</v>
      </c>
      <c r="BE11" s="946" t="s">
        <v>240</v>
      </c>
      <c r="BF11" s="946"/>
      <c r="BG11" s="189">
        <v>1300000</v>
      </c>
    </row>
    <row r="12" spans="2:60" ht="22.5" customHeight="1" thickBot="1" x14ac:dyDescent="0.2">
      <c r="C12" s="133" t="s">
        <v>297</v>
      </c>
      <c r="D12" s="176"/>
      <c r="E12" s="432"/>
      <c r="F12" s="432"/>
      <c r="G12" s="964">
        <v>0.15</v>
      </c>
      <c r="H12" s="965"/>
      <c r="I12" s="434"/>
      <c r="J12" s="809"/>
      <c r="K12" s="19"/>
      <c r="L12" s="19"/>
      <c r="M12" s="371">
        <v>1060000</v>
      </c>
      <c r="N12" s="375" t="s">
        <v>312</v>
      </c>
      <c r="S12" s="366" t="s">
        <v>114</v>
      </c>
      <c r="X12" s="80" t="s">
        <v>105</v>
      </c>
      <c r="Y12" s="81" t="s">
        <v>82</v>
      </c>
      <c r="Z12" s="82" t="s">
        <v>92</v>
      </c>
      <c r="AB12" s="80" t="s">
        <v>105</v>
      </c>
      <c r="AC12" s="81" t="s">
        <v>124</v>
      </c>
      <c r="AD12" s="190" t="s">
        <v>125</v>
      </c>
      <c r="AE12" s="338" t="s">
        <v>92</v>
      </c>
      <c r="AF12" s="63" t="s">
        <v>84</v>
      </c>
      <c r="AH12" s="18"/>
      <c r="AI12" s="20"/>
      <c r="AJ12" s="63" t="s">
        <v>116</v>
      </c>
      <c r="AO12" s="157"/>
      <c r="AR12" s="63" t="s">
        <v>116</v>
      </c>
      <c r="AT12" s="92" t="s">
        <v>98</v>
      </c>
      <c r="AU12" s="91" t="s">
        <v>117</v>
      </c>
      <c r="AV12" s="92" t="s">
        <v>16</v>
      </c>
      <c r="BD12" s="952"/>
      <c r="BE12" s="947" t="s">
        <v>232</v>
      </c>
      <c r="BF12" s="947"/>
      <c r="BG12" s="189">
        <v>30</v>
      </c>
    </row>
    <row r="13" spans="2:60" s="19" customFormat="1" ht="29.25" customHeight="1" thickBot="1" x14ac:dyDescent="0.2">
      <c r="C13" s="32">
        <f>IF($E$4="","",VLOOKUP($E$4,'1-1.従業員データ給与改定案入力画面'!$C$10:$AL$1010,16,0))</f>
        <v>40</v>
      </c>
      <c r="D13" s="177"/>
      <c r="E13" s="433"/>
      <c r="F13" s="433"/>
      <c r="G13" s="433"/>
      <c r="J13" s="812"/>
      <c r="K13" s="187"/>
      <c r="L13" s="187"/>
      <c r="M13" s="813">
        <v>1300000</v>
      </c>
      <c r="N13" s="814" t="s">
        <v>303</v>
      </c>
      <c r="O13" s="366"/>
      <c r="Q13" s="955"/>
      <c r="R13" s="955"/>
      <c r="S13" s="956" t="s">
        <v>323</v>
      </c>
      <c r="T13" s="956"/>
      <c r="X13" s="87">
        <f>IF($U$9="","",$U$9)</f>
        <v>1</v>
      </c>
      <c r="Y13" s="88">
        <f>$BG$13</f>
        <v>88000</v>
      </c>
      <c r="Z13" s="198">
        <f>$BG$16</f>
        <v>40</v>
      </c>
      <c r="AA13" s="35"/>
      <c r="AB13" s="87">
        <f>IF($U$9="","",$U$9)</f>
        <v>1</v>
      </c>
      <c r="AC13" s="88">
        <f>IF($U$10="","",$U$10)</f>
        <v>1300000</v>
      </c>
      <c r="AD13" s="88">
        <f>IF($U$11="","",$U$11)</f>
        <v>30</v>
      </c>
      <c r="AE13" s="198">
        <f>$BG$16</f>
        <v>40</v>
      </c>
      <c r="AF13" s="62">
        <f>$AE$7</f>
        <v>6.0000000000000001E-3</v>
      </c>
      <c r="AG13" s="17"/>
      <c r="AH13" s="124"/>
      <c r="AJ13" s="89">
        <f>'3-2.所得算出参照表'!$I$16</f>
        <v>480000</v>
      </c>
      <c r="AK13" s="17"/>
      <c r="AL13" s="17"/>
      <c r="AM13" s="17"/>
      <c r="AN13" s="94"/>
      <c r="AP13" s="17"/>
      <c r="AQ13" s="17"/>
      <c r="AR13" s="100">
        <f>'3-2.所得算出参照表'!$I$17</f>
        <v>430000</v>
      </c>
      <c r="AS13" s="17"/>
      <c r="AT13" s="101">
        <f>IF($AS$10="",0,$AS$10+$AT$10)</f>
        <v>5500</v>
      </c>
      <c r="AU13" s="102">
        <f>IF($AU$10="",0,$AU$10+$AV$10)</f>
        <v>0.1</v>
      </c>
      <c r="AV13" s="101">
        <f>IF($AU$10="",0,'3-2.所得算出参照表'!$G$22)</f>
        <v>2000000</v>
      </c>
      <c r="AW13" s="948" t="s">
        <v>121</v>
      </c>
      <c r="AX13" s="17"/>
      <c r="BD13" s="950" t="s">
        <v>236</v>
      </c>
      <c r="BE13" s="946" t="s">
        <v>230</v>
      </c>
      <c r="BF13" s="946"/>
      <c r="BG13" s="189">
        <v>88000</v>
      </c>
    </row>
    <row r="14" spans="2:60" ht="53.25" customHeight="1" thickBot="1" x14ac:dyDescent="0.2">
      <c r="B14" s="448" t="s">
        <v>18</v>
      </c>
      <c r="C14" s="77" t="s">
        <v>298</v>
      </c>
      <c r="D14" s="449" t="s">
        <v>16</v>
      </c>
      <c r="E14" s="454" t="s">
        <v>321</v>
      </c>
      <c r="F14" s="455" t="s">
        <v>16</v>
      </c>
      <c r="G14" s="489" t="s">
        <v>320</v>
      </c>
      <c r="H14" s="436" t="s">
        <v>16</v>
      </c>
      <c r="I14" s="362" t="s">
        <v>324</v>
      </c>
      <c r="J14" s="362" t="s">
        <v>172</v>
      </c>
      <c r="K14" s="440" t="s">
        <v>107</v>
      </c>
      <c r="L14" s="499" t="s">
        <v>322</v>
      </c>
      <c r="M14" s="500" t="s">
        <v>299</v>
      </c>
      <c r="N14" s="501" t="s">
        <v>259</v>
      </c>
      <c r="O14" s="502" t="s">
        <v>16</v>
      </c>
      <c r="P14" s="503" t="s">
        <v>16</v>
      </c>
      <c r="Q14" s="502" t="s">
        <v>16</v>
      </c>
      <c r="R14" s="504" t="s">
        <v>16</v>
      </c>
      <c r="S14" s="497" t="s">
        <v>258</v>
      </c>
      <c r="T14" s="496" t="s">
        <v>17</v>
      </c>
      <c r="U14" s="444" t="s">
        <v>164</v>
      </c>
      <c r="V14" s="444" t="s">
        <v>166</v>
      </c>
      <c r="W14" s="193" t="s">
        <v>241</v>
      </c>
      <c r="X14" s="166" t="s">
        <v>93</v>
      </c>
      <c r="Y14" s="64" t="s">
        <v>94</v>
      </c>
      <c r="Z14" s="64" t="s">
        <v>95</v>
      </c>
      <c r="AA14" s="65" t="s">
        <v>110</v>
      </c>
      <c r="AB14" s="52" t="s">
        <v>93</v>
      </c>
      <c r="AC14" s="53" t="s">
        <v>94</v>
      </c>
      <c r="AD14" s="53" t="s">
        <v>95</v>
      </c>
      <c r="AE14" s="54" t="s">
        <v>110</v>
      </c>
      <c r="AF14" s="61" t="s">
        <v>165</v>
      </c>
      <c r="AG14" s="40" t="s">
        <v>115</v>
      </c>
      <c r="AH14" s="83" t="s">
        <v>16</v>
      </c>
      <c r="AI14" s="84" t="s">
        <v>85</v>
      </c>
      <c r="AJ14" s="84" t="s">
        <v>56</v>
      </c>
      <c r="AK14" s="84" t="s">
        <v>89</v>
      </c>
      <c r="AL14" s="84" t="s">
        <v>87</v>
      </c>
      <c r="AM14" s="84" t="s">
        <v>88</v>
      </c>
      <c r="AN14" s="84" t="s">
        <v>46</v>
      </c>
      <c r="AO14" s="84" t="s">
        <v>90</v>
      </c>
      <c r="AP14" s="97" t="s">
        <v>91</v>
      </c>
      <c r="AQ14" s="365" t="s">
        <v>85</v>
      </c>
      <c r="AR14" s="53" t="s">
        <v>56</v>
      </c>
      <c r="AS14" s="53" t="s">
        <v>89</v>
      </c>
      <c r="AT14" s="53" t="s">
        <v>96</v>
      </c>
      <c r="AU14" s="53" t="s">
        <v>97</v>
      </c>
      <c r="AV14" s="53" t="s">
        <v>144</v>
      </c>
      <c r="AW14" s="949"/>
      <c r="BD14" s="946"/>
      <c r="BE14" s="947" t="s">
        <v>233</v>
      </c>
      <c r="BF14" s="947"/>
      <c r="BG14" s="189">
        <v>20</v>
      </c>
    </row>
    <row r="15" spans="2:60" ht="21.95" customHeight="1" thickBot="1" x14ac:dyDescent="0.2">
      <c r="B15" s="76">
        <v>1</v>
      </c>
      <c r="C15" s="59">
        <f t="shared" ref="C15:C44" si="0">IF($E$4="",0,IF($H15="","",$E$9+$C$13))</f>
        <v>1040</v>
      </c>
      <c r="D15" s="437">
        <f t="shared" ref="D15:D44" si="1">IF($E$4="","",IF($K15&gt;=88000,88,""))</f>
        <v>88</v>
      </c>
      <c r="E15" s="452">
        <f>IF($E$4="","",IF(AND($I15&gt;=20,$D15=88,'4-1.参照シートー２'!$R15&lt;=104000),($P15+$V15)*$G$12,0))</f>
        <v>14700</v>
      </c>
      <c r="F15" s="494">
        <f>IF('4-1.参照シートー２'!$G15="","",'4-1.参照シートー２'!$G15)</f>
        <v>0</v>
      </c>
      <c r="G15" s="518">
        <f>IF($E$4="","",IF(AND($I15&gt;=20,$D15=88,$R15&gt;104000),('4-1.参照シートー２'!$R15+$V15)*$G$12,0))</f>
        <v>0</v>
      </c>
      <c r="H15" s="519">
        <v>0</v>
      </c>
      <c r="I15" s="520">
        <f>IF($E$4="","",$E$7*$E$8)</f>
        <v>20</v>
      </c>
      <c r="J15" s="363">
        <f t="shared" ref="J15:J44" si="2">IF($E$7="","",IF($I15="","",$I15*365/7))</f>
        <v>1042.8571428571429</v>
      </c>
      <c r="K15" s="361">
        <f>IF($E$4="","",IF($J15="",0,$C15*$J15/12))</f>
        <v>90380.952380952382</v>
      </c>
      <c r="L15" s="498">
        <f>IF($E$4="","",$K15+$E15+$F15)</f>
        <v>105080.95238095238</v>
      </c>
      <c r="M15" s="441">
        <f>IF($E$4="",0,IF($L15=0,0,$L15+$J$6))</f>
        <v>107080.95238095238</v>
      </c>
      <c r="N15" s="73">
        <f>IF($E$4="",0,IF($M15=0,0,$M15*12+$M$6))</f>
        <v>1284971.4285714286</v>
      </c>
      <c r="O15" s="505">
        <f>IF($E$4="",0,IF($K15=0,0,$K15+$K$6))</f>
        <v>94380.952380952382</v>
      </c>
      <c r="P15" s="506">
        <f>IF($E$4="",0,IF($O15=0,0,VLOOKUP($O15,'3-1.標準報酬月額・保険料表'!$N$8:$O$57,2,TRUE)))</f>
        <v>98000</v>
      </c>
      <c r="Q15" s="507">
        <f t="shared" ref="Q15:Q44" si="3">IF($E$4="",0,IF($L15=0,0,$L15+$K$6-$E15))</f>
        <v>94380.952380952382</v>
      </c>
      <c r="R15" s="508">
        <f>IF($E$4="",0,IF($Q15=0,0,VLOOKUP($Q15,'3-1.標準報酬月額・保険料表'!$N$8:$O$57,2,TRUE)))</f>
        <v>98000</v>
      </c>
      <c r="S15" s="359">
        <f>IF($E$4="",0,IF($K15=0,0,$K15+$K$6+$G15))</f>
        <v>94380.952380952382</v>
      </c>
      <c r="T15" s="458">
        <f>IF($E$4="",0,IF($S15=0,0,VLOOKUP($S15,'3-1.標準報酬月額・保険料表'!$N$8:$O$57,2,TRUE)))</f>
        <v>98000</v>
      </c>
      <c r="U15" s="456">
        <f t="shared" ref="U15:U44" si="4">IF($E$4="",0,ROUNDDOWN($M$6,-3))</f>
        <v>0</v>
      </c>
      <c r="V15" s="445">
        <f t="shared" ref="V15:V44" si="5">IF($E$4="",0,ROUND($U15/12,0))</f>
        <v>0</v>
      </c>
      <c r="W15" s="163">
        <f t="shared" ref="W15:W44" si="6">IF($E$4="","",IF($K15="",0,$K15+$L$6))</f>
        <v>90380.952380952382</v>
      </c>
      <c r="X15" s="36">
        <f>IF($E$4="",0,IF($I15&lt;20,0,IF($X$13="",0,IF($X$13=2,0,IF($W15&lt;$Y$13,0,IF($T15&lt;=620000,VLOOKUP($T15,'3-1.標準報酬月額・保険料表'!$D$8:$L$42,9,FALSE),'3-1.標準報酬月額・保険料表'!$L$42)+ROUNDDOWN($V15*$AD$7,0))))))</f>
        <v>8967</v>
      </c>
      <c r="Y15" s="25">
        <f>IF($E$4="",0,IF($I15&lt;20,0,IF($U$9="",0,IF($X$13=2,0,IF($E$10&gt;=$Z$13,0,IF($W15&lt;$Y$13,0,VLOOKUP($T15,'3-1.標準報酬月額・保険料表'!$D$8:$J$57,6,FALSE)+ROUNDDOWN($V15*$AA$7,0)))))))</f>
        <v>5042.1000000000004</v>
      </c>
      <c r="Z15" s="25">
        <f>IF($E$4="",0,IF($I15&lt;20,0,IF($X$13="",0,IF($X$13=2,0,IF($E$10&lt;$Z$13,0,IF($W15&lt;$Y$13,0,VLOOKUP($T15,'3-1.標準報酬月額・保険料表'!$D$8:$J$57,7,FALSE)+ROUNDDOWN($V15*$AB$7,0)))))))</f>
        <v>0</v>
      </c>
      <c r="AA15" s="41">
        <f>SUM($X15:$Z15)</f>
        <v>14009.1</v>
      </c>
      <c r="AB15" s="46">
        <f>IF($E$4="",0,IF($AB$13="",0,IF($AB$13=1,0,IF($I15&lt;$AD$13,0,IF($N15&lt;$AC$13,0,IF($T15&lt;=620000,VLOOKUP($T15,'3-1.標準報酬月額・保険料表'!$D$8:$L$42,9,FALSE),'3-1.標準報酬月額・保険料表'!$L$42)+ROUNDDOWN($V15*$AD$7,0))))))</f>
        <v>0</v>
      </c>
      <c r="AC15" s="47">
        <f>IF($E$4="",0,IF($AB$13="",0,IF($AB$13=1,0,IF($I15&lt;$AD$13,0,IF($N15&lt;$AC$13,0,IF($E$10&gt;=$AE$13,0,VLOOKUP($T15,'3-1.標準報酬月額・保険料表'!$D$8:$J$57,6,FALSE)+ROUNDDOWN($V15*$AA$7,0)))))))</f>
        <v>0</v>
      </c>
      <c r="AD15" s="47">
        <f>IF($E$4="",0,IF($AB$13="",0,IF($AB$13=1,0,IF($I15&lt;$AD$13,0,IF($N15&lt;$AC$13,0,IF($E$10&lt;$AE$13,0,VLOOKUP($T15,'3-1.標準報酬月額・保険料表'!$D$8:$J$57,7,FALSE)+ROUNDDOWN($V15*$AB$7,0)))))))</f>
        <v>0</v>
      </c>
      <c r="AE15" s="48">
        <f>SUM($AB15:$AD15)</f>
        <v>0</v>
      </c>
      <c r="AF15" s="38">
        <f t="shared" ref="AF15:AF44" si="7">IF($E$4="",0,IF($I15&lt;$AF$11,0,$N15*$AF$13))</f>
        <v>7709.8285714285721</v>
      </c>
      <c r="AG15" s="43">
        <f>IF($E$4="",0,($AA15+$AE15)*12)+$AF15</f>
        <v>175819.02857142859</v>
      </c>
      <c r="AH15" s="127">
        <f>IF($E$4="","",VLOOKUP($N15,'3-2.所得算出参照表'!K$5:L$10,2,TRUE))</f>
        <v>1625000</v>
      </c>
      <c r="AI15" s="128">
        <f>IF($AH15="",0,IF($AH15='3-2.所得算出参照表'!$B$5,'3-2.所得算出参照表'!$E$5,IF('4-1.手当等支給メニュー'!$AH15='3-2.所得算出参照表'!$B$6,'4-1.手当等支給メニュー'!$N15*'3-2.所得算出参照表'!$E$6+'3-2.所得算出参照表'!$G$6,IF('4-1.手当等支給メニュー'!$AH15='3-2.所得算出参照表'!$B$7,'4-1.手当等支給メニュー'!$N15*'3-2.所得算出参照表'!$E$7+'3-2.所得算出参照表'!$G$7,IF('4-1.手当等支給メニュー'!$AH15='3-2.所得算出参照表'!$B$8,'4-1.手当等支給メニュー'!$N15*'3-2.所得算出参照表'!$E$8+'3-2.所得算出参照表'!$G$8,IF('4-1.手当等支給メニュー'!$AH15='3-2.所得算出参照表'!$B$9,'4-1.手当等支給メニュー'!$N15*'3-2.所得算出参照表'!$E$9+'3-2.所得算出参照表'!$G$9,IF($AH15='3-2.所得算出参照表'!$B$10,'3-2.所得算出参照表'!$G$10)))))))</f>
        <v>550000</v>
      </c>
      <c r="AJ15" s="90">
        <f t="shared" ref="AJ15:AJ44" si="8">IF($E$4="","",$AJ$13)</f>
        <v>480000</v>
      </c>
      <c r="AK15" s="85">
        <f t="shared" ref="AK15:AK44" si="9">IF($AH15="",0,IF(ROUNDDOWN($N15-$AG15-$AI15-$AJ15,-3)&lt;=0,0,ROUNDDOWN($N15-$AG15-$AI15-$AJ15,-3)))</f>
        <v>79000</v>
      </c>
      <c r="AL15" s="129">
        <f>VLOOKUP($AK15,'3-2.所得算出参照表'!$N$4:$O$11,2,TRUE)</f>
        <v>0.05</v>
      </c>
      <c r="AM15" s="85">
        <f>VLOOKUP($AK15,'3-2.所得算出参照表'!$P$4:$Q$11,2,TRUE)</f>
        <v>0</v>
      </c>
      <c r="AN15" s="85">
        <f>$AK15*AL15-$AM15</f>
        <v>3950</v>
      </c>
      <c r="AO15" s="85">
        <f>$AN15*'3-2.所得算出参照表'!$D$14</f>
        <v>82.95</v>
      </c>
      <c r="AP15" s="98">
        <f>ROUNDDOWN($AN15+$AO15,-2)</f>
        <v>4000</v>
      </c>
      <c r="AQ15" s="107">
        <f>IF($AH15="",0,IF($AH15='3-2.所得算出参照表'!$B$5,'3-2.所得算出参照表'!$E$5,IF('4-1.手当等支給メニュー'!$AH15='3-2.所得算出参照表'!$B$6,'4-1.手当等支給メニュー'!$N15*'3-2.所得算出参照表'!$E$6+'3-2.所得算出参照表'!$G$6,IF('4-1.手当等支給メニュー'!$AH15='3-2.所得算出参照表'!$B$7,'4-1.手当等支給メニュー'!$N15*'3-2.所得算出参照表'!$E$7+'3-2.所得算出参照表'!$G$7,IF('4-1.手当等支給メニュー'!$AH15='3-2.所得算出参照表'!$B$8,'4-1.手当等支給メニュー'!$N15*'3-2.所得算出参照表'!$E$8+'3-2.所得算出参照表'!$G$8,IF('4-1.手当等支給メニュー'!$AH15='3-2.所得算出参照表'!$B$9,'4-1.手当等支給メニュー'!$N15*'3-2.所得算出参照表'!$E$9+'3-2.所得算出参照表'!$G$9,IF($AH15='3-2.所得算出参照表'!$B$10,'3-2.所得算出参照表'!$G$10)))))))</f>
        <v>550000</v>
      </c>
      <c r="AR15" s="47">
        <f t="shared" ref="AR15:AR44" si="10">IF($E$4="","",$AR$13)</f>
        <v>430000</v>
      </c>
      <c r="AS15" s="95">
        <f t="shared" ref="AS15:AS44" si="11">IF($E$4="",0,IF(ROUNDDOWN($N15-$AG15-$AQ15-$AR15,-3)&lt;=0,0,ROUNDDOWN($N15-$AG15-$AQ15-$AR15,-3)))</f>
        <v>129000</v>
      </c>
      <c r="AT15" s="95">
        <f t="shared" ref="AT15:AT44" si="12">IF($E$4="",0,IF($N15&lt;$AS$7,0,$AT$13))</f>
        <v>5500</v>
      </c>
      <c r="AU15" s="96">
        <f t="shared" ref="AU15:AU44" si="13">IF($E$4="",0,IF($N15&lt;$AT$7,0,$AU$13))</f>
        <v>0.1</v>
      </c>
      <c r="AV15" s="103">
        <f>IF($AS15*$AU$13=0,0,$AS15*$AU$13-IF($AS15&lt;=$AV$13,($AJ15-$AR15)*0.05,IF($AS15&gt;$AV$13,IF($AS15&gt;$AV$13,($AJ15-$AR15)-($AS15-$AV$13)*0.05)))+$AT15)</f>
        <v>15900</v>
      </c>
      <c r="AW15" s="119">
        <f t="shared" ref="AW15:AW44" si="14">$N15-$AG15-$AP15-$AV15</f>
        <v>1089252.4000000001</v>
      </c>
      <c r="BD15" s="200" t="s">
        <v>237</v>
      </c>
      <c r="BE15" s="945" t="s">
        <v>238</v>
      </c>
      <c r="BF15" s="945"/>
      <c r="BG15" s="191">
        <v>20</v>
      </c>
    </row>
    <row r="16" spans="2:60" ht="21.95" customHeight="1" x14ac:dyDescent="0.15">
      <c r="B16" s="76">
        <v>2</v>
      </c>
      <c r="C16" s="78">
        <f t="shared" si="0"/>
        <v>1040</v>
      </c>
      <c r="D16" s="450">
        <f t="shared" si="1"/>
        <v>88</v>
      </c>
      <c r="E16" s="452">
        <f>IF($E$4="","",IF(AND($I16&gt;=20,$D16=88,'4-1.参照シートー２'!$R16&lt;=104000),($P16+$V16)*$G$12,0))</f>
        <v>14700</v>
      </c>
      <c r="F16" s="494">
        <f>IF('4-1.参照シートー２'!$G16="","",'4-1.参照シートー２'!$G16)</f>
        <v>0</v>
      </c>
      <c r="G16" s="452">
        <f>IF($E$4="","",IF(AND($I16&gt;=20,$D16=88,$R16&gt;104000),('4-1.参照シートー２'!$R16+$V16)*$G$12,0))</f>
        <v>0</v>
      </c>
      <c r="H16" s="430">
        <f>IF($I15&gt;=39,"",$H15+1)</f>
        <v>1</v>
      </c>
      <c r="I16" s="358">
        <f>IF($H16="","",IF($I$15+$H16&gt;39,"",$I$15+$H16))</f>
        <v>21</v>
      </c>
      <c r="J16" s="174">
        <f t="shared" si="2"/>
        <v>1095</v>
      </c>
      <c r="K16" s="361">
        <f t="shared" ref="K16:K44" si="15">IF($E$4="","",IF($J16="",0,$C16*$J16/12))</f>
        <v>94900</v>
      </c>
      <c r="L16" s="174">
        <f t="shared" ref="L16:L44" si="16">IF($E$4="","",$K16+$E16+$F16)</f>
        <v>109600</v>
      </c>
      <c r="M16" s="442">
        <f t="shared" ref="M16:M44" si="17">IF($E$4="",0,IF($L16=0,0,$L16+$J$6))</f>
        <v>111600</v>
      </c>
      <c r="N16" s="73">
        <f t="shared" ref="N16:N44" si="18">IF($E$4="",0,IF($M16=0,0,$M16*12+$M$6))</f>
        <v>1339200</v>
      </c>
      <c r="O16" s="509">
        <f t="shared" ref="O16:O44" si="19">IF($E$4="",0,IF($K16=0,0,$K16+$K$6))</f>
        <v>98900</v>
      </c>
      <c r="P16" s="506">
        <f>IF($E$4="",0,IF($O16=0,0,VLOOKUP($O16,'3-1.標準報酬月額・保険料表'!$N$8:$O$57,2,TRUE)))</f>
        <v>98000</v>
      </c>
      <c r="Q16" s="507">
        <f t="shared" si="3"/>
        <v>98900</v>
      </c>
      <c r="R16" s="510">
        <f>IF($E$4="",0,IF($Q16=0,0,VLOOKUP($Q16,'3-1.標準報酬月額・保険料表'!$N$8:$O$57,2,TRUE)))</f>
        <v>98000</v>
      </c>
      <c r="S16" s="359">
        <f t="shared" ref="S16:S44" si="20">IF($E$4="",0,IF($K16=0,0,$K16+$K$6+$G16))</f>
        <v>98900</v>
      </c>
      <c r="T16" s="458">
        <f>IF($E$4="",0,IF($S16=0,0,VLOOKUP($S16,'3-1.標準報酬月額・保険料表'!$N$8:$O$57,2,TRUE)))</f>
        <v>98000</v>
      </c>
      <c r="U16" s="457">
        <f t="shared" si="4"/>
        <v>0</v>
      </c>
      <c r="V16" s="445">
        <f t="shared" si="5"/>
        <v>0</v>
      </c>
      <c r="W16" s="163">
        <f t="shared" si="6"/>
        <v>94900</v>
      </c>
      <c r="X16" s="36">
        <f>IF($E$4="",0,IF($I16&lt;20,0,IF($X$13="",0,IF($X$13=2,0,IF($W16&lt;$Y$13,0,IF($T16&lt;=620000,VLOOKUP($T16,'3-1.標準報酬月額・保険料表'!$D$8:$L$42,9,FALSE),'3-1.標準報酬月額・保険料表'!$L$42)+ROUNDDOWN($V16*$AD$7,0))))))</f>
        <v>8967</v>
      </c>
      <c r="Y16" s="25">
        <f>IF($E$4="",0,IF($I16&lt;20,0,IF($U$9="",0,IF($X$13=2,0,IF($E$10&gt;=$Z$13,0,IF($W16&lt;$Y$13,0,VLOOKUP($T16,'3-1.標準報酬月額・保険料表'!$D$8:$J$57,6,FALSE)+ROUNDDOWN($V16*$AA$7,0)))))))</f>
        <v>5042.1000000000004</v>
      </c>
      <c r="Z16" s="25">
        <f>IF($E$4="",0,IF($I16&lt;20,0,IF($X$13="",0,IF($X$13=2,0,IF($E$10&lt;$Z$13,0,IF($W16&lt;$Y$13,0,VLOOKUP($T16,'3-1.標準報酬月額・保険料表'!$D$8:$J$57,7,FALSE)+ROUNDDOWN($V16*$AB$7,0)))))))</f>
        <v>0</v>
      </c>
      <c r="AA16" s="41">
        <f t="shared" ref="AA16:AA44" si="21">SUM($X16:$Z16)</f>
        <v>14009.1</v>
      </c>
      <c r="AB16" s="46">
        <f>IF($E$4="",0,IF($AB$13="",0,IF($AB$13=1,0,IF($I16&lt;$AD$13,0,IF($N16&lt;$AC$13,0,IF($T16&lt;=620000,VLOOKUP($T16,'3-1.標準報酬月額・保険料表'!$D$8:$L$42,9,FALSE),'3-1.標準報酬月額・保険料表'!$L$42)+ROUNDDOWN($V16*$AD$7,0))))))</f>
        <v>0</v>
      </c>
      <c r="AC16" s="47">
        <f>IF($E$4="",0,IF($AB$13="",0,IF($AB$13=1,0,IF($I16&lt;$AD$13,0,IF($N16&lt;$AC$13,0,IF($E$10&gt;=$AE$13,0,VLOOKUP($T16,'3-1.標準報酬月額・保険料表'!$D$8:$J$57,6,FALSE)+ROUNDDOWN($V16*$AA$7,0)))))))</f>
        <v>0</v>
      </c>
      <c r="AD16" s="47">
        <f>IF($E$4="",0,IF($AB$13="",0,IF($AB$13=1,0,IF($I16&lt;$AD$13,0,IF($N16&lt;$AC$13,0,IF($E$10&lt;$AE$13,0,VLOOKUP($T16,'3-1.標準報酬月額・保険料表'!$D$8:$J$57,7,FALSE)+ROUNDDOWN($V16*$AB$7,0)))))))</f>
        <v>0</v>
      </c>
      <c r="AE16" s="48">
        <f t="shared" ref="AE16:AE44" si="22">SUM($AB16:$AD16)</f>
        <v>0</v>
      </c>
      <c r="AF16" s="38">
        <f t="shared" si="7"/>
        <v>8035.2</v>
      </c>
      <c r="AG16" s="43">
        <f t="shared" ref="AG16:AG44" si="23">IF($E$4="",0,($AA16+$AE16)*12)+$AF16</f>
        <v>176144.40000000002</v>
      </c>
      <c r="AH16" s="127">
        <f>IF($E$4="","",VLOOKUP($N16,'3-2.所得算出参照表'!K$5:L$10,2,TRUE))</f>
        <v>1625000</v>
      </c>
      <c r="AI16" s="128">
        <f>IF($AH16="",0,IF($AH16='3-2.所得算出参照表'!$B$5,'3-2.所得算出参照表'!$E$5,IF('4-1.手当等支給メニュー'!$AH16='3-2.所得算出参照表'!$B$6,'4-1.手当等支給メニュー'!$N16*'3-2.所得算出参照表'!$E$6+'3-2.所得算出参照表'!$G$6,IF('4-1.手当等支給メニュー'!$AH16='3-2.所得算出参照表'!$B$7,'4-1.手当等支給メニュー'!$N16*'3-2.所得算出参照表'!$E$7+'3-2.所得算出参照表'!$G$7,IF('4-1.手当等支給メニュー'!$AH16='3-2.所得算出参照表'!$B$8,'4-1.手当等支給メニュー'!$N16*'3-2.所得算出参照表'!$E$8+'3-2.所得算出参照表'!$G$8,IF('4-1.手当等支給メニュー'!$AH16='3-2.所得算出参照表'!$B$9,'4-1.手当等支給メニュー'!$N16*'3-2.所得算出参照表'!$E$9+'3-2.所得算出参照表'!$G$9,IF($AH16='3-2.所得算出参照表'!$B$10,'3-2.所得算出参照表'!$G$10)))))))</f>
        <v>550000</v>
      </c>
      <c r="AJ16" s="90">
        <f t="shared" si="8"/>
        <v>480000</v>
      </c>
      <c r="AK16" s="85">
        <f t="shared" si="9"/>
        <v>133000</v>
      </c>
      <c r="AL16" s="130">
        <f>VLOOKUP($AK16,'3-2.所得算出参照表'!$N$4:$O$11,2,TRUE)</f>
        <v>0.05</v>
      </c>
      <c r="AM16" s="85">
        <f>VLOOKUP($AK16,'3-2.所得算出参照表'!$P$4:$Q$11,2,TRUE)</f>
        <v>0</v>
      </c>
      <c r="AN16" s="85">
        <f t="shared" ref="AN16:AN44" si="24">$AK16*AL16-$AM16</f>
        <v>6650</v>
      </c>
      <c r="AO16" s="85">
        <f>$AN16*'3-2.所得算出参照表'!$D$14</f>
        <v>139.65</v>
      </c>
      <c r="AP16" s="99">
        <f t="shared" ref="AP16:AP44" si="25">ROUNDDOWN($AN16+$AO16,-2)</f>
        <v>6700</v>
      </c>
      <c r="AQ16" s="107">
        <f>IF($AH16="",0,IF($AH16='3-2.所得算出参照表'!$B$5,'3-2.所得算出参照表'!$E$5,IF('4-1.手当等支給メニュー'!$AH16='3-2.所得算出参照表'!$B$6,'4-1.手当等支給メニュー'!$N16*'3-2.所得算出参照表'!$E$6+'3-2.所得算出参照表'!$G$6,IF('4-1.手当等支給メニュー'!$AH16='3-2.所得算出参照表'!$B$7,'4-1.手当等支給メニュー'!$N16*'3-2.所得算出参照表'!$E$7+'3-2.所得算出参照表'!$G$7,IF('4-1.手当等支給メニュー'!$AH16='3-2.所得算出参照表'!$B$8,'4-1.手当等支給メニュー'!$N16*'3-2.所得算出参照表'!$E$8+'3-2.所得算出参照表'!$G$8,IF('4-1.手当等支給メニュー'!$AH16='3-2.所得算出参照表'!$B$9,'4-1.手当等支給メニュー'!$N16*'3-2.所得算出参照表'!$E$9+'3-2.所得算出参照表'!$G$9,IF($AH16='3-2.所得算出参照表'!$B$10,'3-2.所得算出参照表'!$G$10)))))))</f>
        <v>550000</v>
      </c>
      <c r="AR16" s="47">
        <f t="shared" si="10"/>
        <v>430000</v>
      </c>
      <c r="AS16" s="95">
        <f t="shared" si="11"/>
        <v>183000</v>
      </c>
      <c r="AT16" s="95">
        <f t="shared" si="12"/>
        <v>5500</v>
      </c>
      <c r="AU16" s="96">
        <f t="shared" si="13"/>
        <v>0.1</v>
      </c>
      <c r="AV16" s="103">
        <f t="shared" ref="AV16:AV44" si="26">IF($AS16*$AU$13=0,0,$AS16*$AU$13-IF($AS16&lt;=$AV$13,($AJ16-$AR16)*0.05,IF($AS16&gt;$AV$13,IF($AS16&gt;$AV$13,($AJ16-$AR16)-($AS16-$AV$13)*0.05)))+$AT16)</f>
        <v>21300</v>
      </c>
      <c r="AW16" s="120">
        <f t="shared" si="14"/>
        <v>1135055.6000000001</v>
      </c>
      <c r="BD16" s="200" t="s">
        <v>271</v>
      </c>
      <c r="BE16" s="945" t="s">
        <v>272</v>
      </c>
      <c r="BF16" s="945"/>
      <c r="BG16" s="191">
        <v>40</v>
      </c>
    </row>
    <row r="17" spans="2:49" ht="21.95" customHeight="1" x14ac:dyDescent="0.15">
      <c r="B17" s="76">
        <v>3</v>
      </c>
      <c r="C17" s="78">
        <f t="shared" si="0"/>
        <v>1040</v>
      </c>
      <c r="D17" s="438">
        <f t="shared" si="1"/>
        <v>88</v>
      </c>
      <c r="E17" s="452">
        <f>IF($E$4="","",IF(AND($I17&gt;=20,$D17=88,'4-1.参照シートー２'!$R17&lt;=104000),($P17+$V17)*$G$12,0))</f>
        <v>15600</v>
      </c>
      <c r="F17" s="494">
        <f>IF('4-1.参照シートー２'!$G17="","",'4-1.参照シートー２'!$G17)</f>
        <v>0</v>
      </c>
      <c r="G17" s="452">
        <f>IF($E$4="","",IF(AND($I17&gt;=20,$D17=88,$R17&gt;104000),('4-1.参照シートー２'!$R17+$V17)*$G$12,0))</f>
        <v>0</v>
      </c>
      <c r="H17" s="431">
        <f t="shared" ref="H17:H44" si="27">IF($I16&gt;=39,"",$H16+1)</f>
        <v>2</v>
      </c>
      <c r="I17" s="60">
        <f t="shared" ref="I17:I44" si="28">IF($H17="","",IF($I$15+$H17&gt;39,"",$I$15+$H17))</f>
        <v>22</v>
      </c>
      <c r="J17" s="174">
        <f t="shared" si="2"/>
        <v>1147.1428571428571</v>
      </c>
      <c r="K17" s="361">
        <f t="shared" si="15"/>
        <v>99419.047619047618</v>
      </c>
      <c r="L17" s="174">
        <f t="shared" si="16"/>
        <v>115019.04761904762</v>
      </c>
      <c r="M17" s="442">
        <f t="shared" si="17"/>
        <v>117019.04761904762</v>
      </c>
      <c r="N17" s="73">
        <f t="shared" si="18"/>
        <v>1404228.5714285714</v>
      </c>
      <c r="O17" s="509">
        <f t="shared" si="19"/>
        <v>103419.04761904762</v>
      </c>
      <c r="P17" s="506">
        <f>IF($E$4="",0,IF($O17=0,0,VLOOKUP($O17,'3-1.標準報酬月額・保険料表'!$N$8:$O$57,2,TRUE)))</f>
        <v>104000</v>
      </c>
      <c r="Q17" s="507">
        <f t="shared" si="3"/>
        <v>103419.04761904762</v>
      </c>
      <c r="R17" s="510">
        <f>IF($E$4="",0,IF($Q17=0,0,VLOOKUP($Q17,'3-1.標準報酬月額・保険料表'!$N$8:$O$57,2,TRUE)))</f>
        <v>104000</v>
      </c>
      <c r="S17" s="359">
        <f t="shared" si="20"/>
        <v>103419.04761904762</v>
      </c>
      <c r="T17" s="458">
        <f>IF($E$4="",0,IF($S17=0,0,VLOOKUP($S17,'3-1.標準報酬月額・保険料表'!$N$8:$O$57,2,TRUE)))</f>
        <v>104000</v>
      </c>
      <c r="U17" s="457">
        <f t="shared" si="4"/>
        <v>0</v>
      </c>
      <c r="V17" s="445">
        <f t="shared" si="5"/>
        <v>0</v>
      </c>
      <c r="W17" s="163">
        <f t="shared" si="6"/>
        <v>99419.047619047618</v>
      </c>
      <c r="X17" s="36">
        <f>IF($E$4="",0,IF($I17&lt;20,0,IF($X$13="",0,IF($X$13=2,0,IF($W17&lt;$Y$13,0,IF($T17&lt;=620000,VLOOKUP($T17,'3-1.標準報酬月額・保険料表'!$D$8:$L$42,9,FALSE),'3-1.標準報酬月額・保険料表'!$L$42)+ROUNDDOWN($V17*$AD$7,0))))))</f>
        <v>9516</v>
      </c>
      <c r="Y17" s="25">
        <f>IF($E$4="",0,IF($I17&lt;20,0,IF($U$9="",0,IF($X$13=2,0,IF($E$10&gt;=$Z$13,0,IF($W17&lt;$Y$13,0,VLOOKUP($T17,'3-1.標準報酬月額・保険料表'!$D$8:$J$57,6,FALSE)+ROUNDDOWN($V17*$AA$7,0)))))))</f>
        <v>5350.8</v>
      </c>
      <c r="Z17" s="25">
        <f>IF($E$4="",0,IF($I17&lt;20,0,IF($X$13="",0,IF($X$13=2,0,IF($E$10&lt;$Z$13,0,IF($W17&lt;$Y$13,0,VLOOKUP($T17,'3-1.標準報酬月額・保険料表'!$D$8:$J$57,7,FALSE)+ROUNDDOWN($V17*$AB$7,0)))))))</f>
        <v>0</v>
      </c>
      <c r="AA17" s="41">
        <f t="shared" si="21"/>
        <v>14866.8</v>
      </c>
      <c r="AB17" s="46">
        <f>IF($E$4="",0,IF($AB$13="",0,IF($AB$13=1,0,IF($I17&lt;$AD$13,0,IF($N17&lt;$AC$13,0,IF($T17&lt;=620000,VLOOKUP($T17,'3-1.標準報酬月額・保険料表'!$D$8:$L$42,9,FALSE),'3-1.標準報酬月額・保険料表'!$L$42)+ROUNDDOWN($V17*$AD$7,0))))))</f>
        <v>0</v>
      </c>
      <c r="AC17" s="47">
        <f>IF($E$4="",0,IF($AB$13="",0,IF($AB$13=1,0,IF($I17&lt;$AD$13,0,IF($N17&lt;$AC$13,0,IF($E$10&gt;=$AE$13,0,VLOOKUP($T17,'3-1.標準報酬月額・保険料表'!$D$8:$J$57,6,FALSE)+ROUNDDOWN($V17*$AA$7,0)))))))</f>
        <v>0</v>
      </c>
      <c r="AD17" s="47">
        <f>IF($E$4="",0,IF($AB$13="",0,IF($AB$13=1,0,IF($I17&lt;$AD$13,0,IF($N17&lt;$AC$13,0,IF($E$10&lt;$AE$13,0,VLOOKUP($T17,'3-1.標準報酬月額・保険料表'!$D$8:$J$57,7,FALSE)+ROUNDDOWN($V17*$AB$7,0)))))))</f>
        <v>0</v>
      </c>
      <c r="AE17" s="48">
        <f t="shared" si="22"/>
        <v>0</v>
      </c>
      <c r="AF17" s="38">
        <f t="shared" si="7"/>
        <v>8425.3714285714286</v>
      </c>
      <c r="AG17" s="43">
        <f t="shared" si="23"/>
        <v>186826.97142857141</v>
      </c>
      <c r="AH17" s="127">
        <f>IF($E$4="","",VLOOKUP($N17,'3-2.所得算出参照表'!K$5:L$10,2,TRUE))</f>
        <v>1625000</v>
      </c>
      <c r="AI17" s="128">
        <f>IF($AH17="",0,IF($AH17='3-2.所得算出参照表'!$B$5,'3-2.所得算出参照表'!$E$5,IF('4-1.手当等支給メニュー'!$AH17='3-2.所得算出参照表'!$B$6,'4-1.手当等支給メニュー'!$N17*'3-2.所得算出参照表'!$E$6+'3-2.所得算出参照表'!$G$6,IF('4-1.手当等支給メニュー'!$AH17='3-2.所得算出参照表'!$B$7,'4-1.手当等支給メニュー'!$N17*'3-2.所得算出参照表'!$E$7+'3-2.所得算出参照表'!$G$7,IF('4-1.手当等支給メニュー'!$AH17='3-2.所得算出参照表'!$B$8,'4-1.手当等支給メニュー'!$N17*'3-2.所得算出参照表'!$E$8+'3-2.所得算出参照表'!$G$8,IF('4-1.手当等支給メニュー'!$AH17='3-2.所得算出参照表'!$B$9,'4-1.手当等支給メニュー'!$N17*'3-2.所得算出参照表'!$E$9+'3-2.所得算出参照表'!$G$9,IF($AH17='3-2.所得算出参照表'!$B$10,'3-2.所得算出参照表'!$G$10)))))))</f>
        <v>550000</v>
      </c>
      <c r="AJ17" s="90">
        <f t="shared" si="8"/>
        <v>480000</v>
      </c>
      <c r="AK17" s="85">
        <f t="shared" si="9"/>
        <v>187000</v>
      </c>
      <c r="AL17" s="130">
        <f>VLOOKUP($AK17,'3-2.所得算出参照表'!$N$4:$O$11,2,TRUE)</f>
        <v>0.05</v>
      </c>
      <c r="AM17" s="85">
        <f>VLOOKUP($AK17,'3-2.所得算出参照表'!$P$4:$Q$11,2,TRUE)</f>
        <v>0</v>
      </c>
      <c r="AN17" s="85">
        <f t="shared" si="24"/>
        <v>9350</v>
      </c>
      <c r="AO17" s="85">
        <f>$AN17*'3-2.所得算出参照表'!$D$14</f>
        <v>196.35000000000002</v>
      </c>
      <c r="AP17" s="99">
        <f t="shared" si="25"/>
        <v>9500</v>
      </c>
      <c r="AQ17" s="107">
        <f>IF($AH17="",0,IF($AH17='3-2.所得算出参照表'!$B$5,'3-2.所得算出参照表'!$E$5,IF('4-1.手当等支給メニュー'!$AH17='3-2.所得算出参照表'!$B$6,'4-1.手当等支給メニュー'!$N17*'3-2.所得算出参照表'!$E$6+'3-2.所得算出参照表'!$G$6,IF('4-1.手当等支給メニュー'!$AH17='3-2.所得算出参照表'!$B$7,'4-1.手当等支給メニュー'!$N17*'3-2.所得算出参照表'!$E$7+'3-2.所得算出参照表'!$G$7,IF('4-1.手当等支給メニュー'!$AH17='3-2.所得算出参照表'!$B$8,'4-1.手当等支給メニュー'!$N17*'3-2.所得算出参照表'!$E$8+'3-2.所得算出参照表'!$G$8,IF('4-1.手当等支給メニュー'!$AH17='3-2.所得算出参照表'!$B$9,'4-1.手当等支給メニュー'!$N17*'3-2.所得算出参照表'!$E$9+'3-2.所得算出参照表'!$G$9,IF($AH17='3-2.所得算出参照表'!$B$10,'3-2.所得算出参照表'!$G$10)))))))</f>
        <v>550000</v>
      </c>
      <c r="AR17" s="47">
        <f t="shared" si="10"/>
        <v>430000</v>
      </c>
      <c r="AS17" s="95">
        <f t="shared" si="11"/>
        <v>237000</v>
      </c>
      <c r="AT17" s="95">
        <f t="shared" si="12"/>
        <v>5500</v>
      </c>
      <c r="AU17" s="96">
        <f t="shared" si="13"/>
        <v>0.1</v>
      </c>
      <c r="AV17" s="103">
        <f t="shared" si="26"/>
        <v>26700</v>
      </c>
      <c r="AW17" s="120">
        <f t="shared" si="14"/>
        <v>1181201.5999999999</v>
      </c>
    </row>
    <row r="18" spans="2:49" ht="21.95" customHeight="1" x14ac:dyDescent="0.15">
      <c r="B18" s="76">
        <v>4</v>
      </c>
      <c r="C18" s="78">
        <f t="shared" si="0"/>
        <v>1040</v>
      </c>
      <c r="D18" s="438">
        <f t="shared" si="1"/>
        <v>88</v>
      </c>
      <c r="E18" s="452">
        <f>IF($E$4="","",IF(AND($I18&gt;=20,$D18=88,'4-1.参照シートー２'!$R18&lt;=104000),($P18+$V18)*$G$12,0))</f>
        <v>0</v>
      </c>
      <c r="F18" s="494">
        <f>IF('4-1.参照シートー２'!$G18="","",'4-1.参照シートー２'!$G18)</f>
        <v>18900</v>
      </c>
      <c r="G18" s="452">
        <f>IF($E$4="","",IF(AND($I18&gt;=20,$D18=88,$R18&gt;104000),('4-1.参照シートー２'!$R18+$V18)*$G$12,0))</f>
        <v>18900</v>
      </c>
      <c r="H18" s="431">
        <f t="shared" si="27"/>
        <v>3</v>
      </c>
      <c r="I18" s="60">
        <f t="shared" si="28"/>
        <v>23</v>
      </c>
      <c r="J18" s="174">
        <f t="shared" si="2"/>
        <v>1199.2857142857142</v>
      </c>
      <c r="K18" s="361">
        <f t="shared" si="15"/>
        <v>103938.09523809522</v>
      </c>
      <c r="L18" s="174">
        <f t="shared" si="16"/>
        <v>122838.09523809522</v>
      </c>
      <c r="M18" s="442">
        <f t="shared" si="17"/>
        <v>124838.09523809522</v>
      </c>
      <c r="N18" s="73">
        <f t="shared" si="18"/>
        <v>1498057.1428571427</v>
      </c>
      <c r="O18" s="509">
        <f t="shared" si="19"/>
        <v>107938.09523809522</v>
      </c>
      <c r="P18" s="506">
        <f>IF($E$4="",0,IF($O18=0,0,VLOOKUP($O18,'3-1.標準報酬月額・保険料表'!$N$8:$O$57,2,TRUE)))</f>
        <v>110000</v>
      </c>
      <c r="Q18" s="507">
        <f t="shared" si="3"/>
        <v>126838.09523809522</v>
      </c>
      <c r="R18" s="510">
        <f>IF($E$4="",0,IF($Q18=0,0,VLOOKUP($Q18,'3-1.標準報酬月額・保険料表'!$N$8:$O$57,2,TRUE)))</f>
        <v>126000</v>
      </c>
      <c r="S18" s="359">
        <f t="shared" si="20"/>
        <v>126838.09523809522</v>
      </c>
      <c r="T18" s="458">
        <f>IF($E$4="",0,IF($S18=0,0,VLOOKUP($S18,'3-1.標準報酬月額・保険料表'!$N$8:$O$57,2,TRUE)))</f>
        <v>126000</v>
      </c>
      <c r="U18" s="457">
        <f t="shared" si="4"/>
        <v>0</v>
      </c>
      <c r="V18" s="445">
        <f t="shared" si="5"/>
        <v>0</v>
      </c>
      <c r="W18" s="163">
        <f t="shared" si="6"/>
        <v>103938.09523809522</v>
      </c>
      <c r="X18" s="36">
        <f>IF($E$4="",0,IF($I18&lt;20,0,IF($X$13="",0,IF($X$13=2,0,IF($W18&lt;$Y$13,0,IF($T18&lt;=620000,VLOOKUP($T18,'3-1.標準報酬月額・保険料表'!$D$8:$L$42,9,FALSE),'3-1.標準報酬月額・保険料表'!$L$42)+ROUNDDOWN($V18*$AD$7,0))))))</f>
        <v>11529</v>
      </c>
      <c r="Y18" s="25">
        <f>IF($E$4="",0,IF($I18&lt;20,0,IF($U$9="",0,IF($X$13=2,0,IF($E$10&gt;=$Z$13,0,IF($W18&lt;$Y$13,0,VLOOKUP($T18,'3-1.標準報酬月額・保険料表'!$D$8:$J$57,6,FALSE)+ROUNDDOWN($V18*$AA$7,0)))))))</f>
        <v>6482.7000000000007</v>
      </c>
      <c r="Z18" s="25">
        <f>IF($E$4="",0,IF($I18&lt;20,0,IF($X$13="",0,IF($X$13=2,0,IF($E$10&lt;$Z$13,0,IF($W18&lt;$Y$13,0,VLOOKUP($T18,'3-1.標準報酬月額・保険料表'!$D$8:$J$57,7,FALSE)+ROUNDDOWN($V18*$AB$7,0)))))))</f>
        <v>0</v>
      </c>
      <c r="AA18" s="41">
        <f t="shared" si="21"/>
        <v>18011.7</v>
      </c>
      <c r="AB18" s="46">
        <f>IF($E$4="",0,IF($AB$13="",0,IF($AB$13=1,0,IF($I18&lt;$AD$13,0,IF($N18&lt;$AC$13,0,IF($T18&lt;=620000,VLOOKUP($T18,'3-1.標準報酬月額・保険料表'!$D$8:$L$42,9,FALSE),'3-1.標準報酬月額・保険料表'!$L$42)+ROUNDDOWN($V18*$AD$7,0))))))</f>
        <v>0</v>
      </c>
      <c r="AC18" s="47">
        <f>IF($E$4="",0,IF($AB$13="",0,IF($AB$13=1,0,IF($I18&lt;$AD$13,0,IF($N18&lt;$AC$13,0,IF($E$10&gt;=$AE$13,0,VLOOKUP($T18,'3-1.標準報酬月額・保険料表'!$D$8:$J$57,6,FALSE)+ROUNDDOWN($V18*$AA$7,0)))))))</f>
        <v>0</v>
      </c>
      <c r="AD18" s="47">
        <f>IF($E$4="",0,IF($AB$13="",0,IF($AB$13=1,0,IF($I18&lt;$AD$13,0,IF($N18&lt;$AC$13,0,IF($E$10&lt;$AE$13,0,VLOOKUP($T18,'3-1.標準報酬月額・保険料表'!$D$8:$J$57,7,FALSE)+ROUNDDOWN($V18*$AB$7,0)))))))</f>
        <v>0</v>
      </c>
      <c r="AE18" s="48">
        <f t="shared" si="22"/>
        <v>0</v>
      </c>
      <c r="AF18" s="38">
        <f t="shared" si="7"/>
        <v>8988.3428571428558</v>
      </c>
      <c r="AG18" s="43">
        <f t="shared" si="23"/>
        <v>225128.74285714288</v>
      </c>
      <c r="AH18" s="127">
        <f>IF($E$4="","",VLOOKUP($N18,'3-2.所得算出参照表'!K$5:L$10,2,TRUE))</f>
        <v>1625000</v>
      </c>
      <c r="AI18" s="128">
        <f>IF($AH18="",0,IF($AH18='3-2.所得算出参照表'!$B$5,'3-2.所得算出参照表'!$E$5,IF('4-1.手当等支給メニュー'!$AH18='3-2.所得算出参照表'!$B$6,'4-1.手当等支給メニュー'!$N18*'3-2.所得算出参照表'!$E$6+'3-2.所得算出参照表'!$G$6,IF('4-1.手当等支給メニュー'!$AH18='3-2.所得算出参照表'!$B$7,'4-1.手当等支給メニュー'!$N18*'3-2.所得算出参照表'!$E$7+'3-2.所得算出参照表'!$G$7,IF('4-1.手当等支給メニュー'!$AH18='3-2.所得算出参照表'!$B$8,'4-1.手当等支給メニュー'!$N18*'3-2.所得算出参照表'!$E$8+'3-2.所得算出参照表'!$G$8,IF('4-1.手当等支給メニュー'!$AH18='3-2.所得算出参照表'!$B$9,'4-1.手当等支給メニュー'!$N18*'3-2.所得算出参照表'!$E$9+'3-2.所得算出参照表'!$G$9,IF($AH18='3-2.所得算出参照表'!$B$10,'3-2.所得算出参照表'!$G$10)))))))</f>
        <v>550000</v>
      </c>
      <c r="AJ18" s="90">
        <f t="shared" si="8"/>
        <v>480000</v>
      </c>
      <c r="AK18" s="85">
        <f t="shared" si="9"/>
        <v>242000</v>
      </c>
      <c r="AL18" s="130">
        <f>VLOOKUP($AK18,'3-2.所得算出参照表'!$N$4:$O$11,2,TRUE)</f>
        <v>0.05</v>
      </c>
      <c r="AM18" s="85">
        <f>VLOOKUP($AK18,'3-2.所得算出参照表'!$P$4:$Q$11,2,TRUE)</f>
        <v>0</v>
      </c>
      <c r="AN18" s="85">
        <f t="shared" si="24"/>
        <v>12100</v>
      </c>
      <c r="AO18" s="85">
        <f>$AN18*'3-2.所得算出参照表'!$D$14</f>
        <v>254.10000000000002</v>
      </c>
      <c r="AP18" s="99">
        <f t="shared" si="25"/>
        <v>12300</v>
      </c>
      <c r="AQ18" s="107">
        <f>IF($AH18="",0,IF($AH18='3-2.所得算出参照表'!$B$5,'3-2.所得算出参照表'!$E$5,IF('4-1.手当等支給メニュー'!$AH18='3-2.所得算出参照表'!$B$6,'4-1.手当等支給メニュー'!$N18*'3-2.所得算出参照表'!$E$6+'3-2.所得算出参照表'!$G$6,IF('4-1.手当等支給メニュー'!$AH18='3-2.所得算出参照表'!$B$7,'4-1.手当等支給メニュー'!$N18*'3-2.所得算出参照表'!$E$7+'3-2.所得算出参照表'!$G$7,IF('4-1.手当等支給メニュー'!$AH18='3-2.所得算出参照表'!$B$8,'4-1.手当等支給メニュー'!$N18*'3-2.所得算出参照表'!$E$8+'3-2.所得算出参照表'!$G$8,IF('4-1.手当等支給メニュー'!$AH18='3-2.所得算出参照表'!$B$9,'4-1.手当等支給メニュー'!$N18*'3-2.所得算出参照表'!$E$9+'3-2.所得算出参照表'!$G$9,IF($AH18='3-2.所得算出参照表'!$B$10,'3-2.所得算出参照表'!$G$10)))))))</f>
        <v>550000</v>
      </c>
      <c r="AR18" s="47">
        <f t="shared" si="10"/>
        <v>430000</v>
      </c>
      <c r="AS18" s="95">
        <f t="shared" si="11"/>
        <v>292000</v>
      </c>
      <c r="AT18" s="95">
        <f t="shared" si="12"/>
        <v>5500</v>
      </c>
      <c r="AU18" s="96">
        <f t="shared" si="13"/>
        <v>0.1</v>
      </c>
      <c r="AV18" s="103">
        <f t="shared" si="26"/>
        <v>32200</v>
      </c>
      <c r="AW18" s="120">
        <f t="shared" si="14"/>
        <v>1228428.3999999999</v>
      </c>
    </row>
    <row r="19" spans="2:49" ht="21.95" customHeight="1" x14ac:dyDescent="0.15">
      <c r="B19" s="76">
        <v>5</v>
      </c>
      <c r="C19" s="78">
        <f t="shared" si="0"/>
        <v>1040</v>
      </c>
      <c r="D19" s="438">
        <f t="shared" si="1"/>
        <v>88</v>
      </c>
      <c r="E19" s="452">
        <f>IF($E$4="","",IF(AND($I19&gt;=20,$D19=88,'4-1.参照シートー２'!$R19&lt;=104000),($P19+$V19)*$G$12,0))</f>
        <v>0</v>
      </c>
      <c r="F19" s="494">
        <f>IF('4-1.参照シートー２'!$G19="","",'4-1.参照シートー２'!$G19)</f>
        <v>20100</v>
      </c>
      <c r="G19" s="452">
        <f>IF($E$4="","",IF(AND($I19&gt;=20,$D19=88,$R19&gt;104000),('4-1.参照シートー２'!$R19+$V19)*$G$12,0))</f>
        <v>20100</v>
      </c>
      <c r="H19" s="431">
        <f t="shared" si="27"/>
        <v>4</v>
      </c>
      <c r="I19" s="60">
        <f t="shared" si="28"/>
        <v>24</v>
      </c>
      <c r="J19" s="174">
        <f t="shared" si="2"/>
        <v>1251.4285714285713</v>
      </c>
      <c r="K19" s="361">
        <f t="shared" si="15"/>
        <v>108457.14285714284</v>
      </c>
      <c r="L19" s="174">
        <f t="shared" si="16"/>
        <v>128557.14285714284</v>
      </c>
      <c r="M19" s="442">
        <f t="shared" si="17"/>
        <v>130557.14285714284</v>
      </c>
      <c r="N19" s="73">
        <f t="shared" si="18"/>
        <v>1566685.7142857141</v>
      </c>
      <c r="O19" s="509">
        <f t="shared" si="19"/>
        <v>112457.14285714284</v>
      </c>
      <c r="P19" s="506">
        <f>IF($E$4="",0,IF($O19=0,0,VLOOKUP($O19,'3-1.標準報酬月額・保険料表'!$N$8:$O$57,2,TRUE)))</f>
        <v>110000</v>
      </c>
      <c r="Q19" s="507">
        <f t="shared" si="3"/>
        <v>132557.14285714284</v>
      </c>
      <c r="R19" s="510">
        <f>IF($E$4="",0,IF($Q19=0,0,VLOOKUP($Q19,'3-1.標準報酬月額・保険料表'!$N$8:$O$57,2,TRUE)))</f>
        <v>134000</v>
      </c>
      <c r="S19" s="359">
        <f t="shared" si="20"/>
        <v>132557.14285714284</v>
      </c>
      <c r="T19" s="458">
        <f>IF($E$4="",0,IF($S19=0,0,VLOOKUP($S19,'3-1.標準報酬月額・保険料表'!$N$8:$O$57,2,TRUE)))</f>
        <v>134000</v>
      </c>
      <c r="U19" s="457">
        <f t="shared" si="4"/>
        <v>0</v>
      </c>
      <c r="V19" s="445">
        <f t="shared" si="5"/>
        <v>0</v>
      </c>
      <c r="W19" s="163">
        <f t="shared" si="6"/>
        <v>108457.14285714284</v>
      </c>
      <c r="X19" s="36">
        <f>IF($E$4="",0,IF($I19&lt;20,0,IF($X$13="",0,IF($X$13=2,0,IF($W19&lt;$Y$13,0,IF($T19&lt;=620000,VLOOKUP($T19,'3-1.標準報酬月額・保険料表'!$D$8:$L$42,9,FALSE),'3-1.標準報酬月額・保険料表'!$L$42)+ROUNDDOWN($V19*$AD$7,0))))))</f>
        <v>12261</v>
      </c>
      <c r="Y19" s="25">
        <f>IF($E$4="",0,IF($I19&lt;20,0,IF($U$9="",0,IF($X$13=2,0,IF($E$10&gt;=$Z$13,0,IF($W19&lt;$Y$13,0,VLOOKUP($T19,'3-1.標準報酬月額・保険料表'!$D$8:$J$57,6,FALSE)+ROUNDDOWN($V19*$AA$7,0)))))))</f>
        <v>6894.3</v>
      </c>
      <c r="Z19" s="25">
        <f>IF($E$4="",0,IF($I19&lt;20,0,IF($X$13="",0,IF($X$13=2,0,IF($E$10&lt;$Z$13,0,IF($W19&lt;$Y$13,0,VLOOKUP($T19,'3-1.標準報酬月額・保険料表'!$D$8:$J$57,7,FALSE)+ROUNDDOWN($V19*$AB$7,0)))))))</f>
        <v>0</v>
      </c>
      <c r="AA19" s="41">
        <f t="shared" si="21"/>
        <v>19155.3</v>
      </c>
      <c r="AB19" s="46">
        <f>IF($E$4="",0,IF($AB$13="",0,IF($AB$13=1,0,IF($I19&lt;$AD$13,0,IF($N19&lt;$AC$13,0,IF($T19&lt;=620000,VLOOKUP($T19,'3-1.標準報酬月額・保険料表'!$D$8:$L$42,9,FALSE),'3-1.標準報酬月額・保険料表'!$L$42)+ROUNDDOWN($V19*$AD$7,0))))))</f>
        <v>0</v>
      </c>
      <c r="AC19" s="47">
        <f>IF($E$4="",0,IF($AB$13="",0,IF($AB$13=1,0,IF($I19&lt;$AD$13,0,IF($N19&lt;$AC$13,0,IF($E$10&gt;=$AE$13,0,VLOOKUP($T19,'3-1.標準報酬月額・保険料表'!$D$8:$J$57,6,FALSE)+ROUNDDOWN($V19*$AA$7,0)))))))</f>
        <v>0</v>
      </c>
      <c r="AD19" s="47">
        <f>IF($E$4="",0,IF($AB$13="",0,IF($AB$13=1,0,IF($I19&lt;$AD$13,0,IF($N19&lt;$AC$13,0,IF($E$10&lt;$AE$13,0,VLOOKUP($T19,'3-1.標準報酬月額・保険料表'!$D$8:$J$57,7,FALSE)+ROUNDDOWN($V19*$AB$7,0)))))))</f>
        <v>0</v>
      </c>
      <c r="AE19" s="48">
        <f t="shared" si="22"/>
        <v>0</v>
      </c>
      <c r="AF19" s="38">
        <f t="shared" si="7"/>
        <v>9400.1142857142841</v>
      </c>
      <c r="AG19" s="43">
        <f t="shared" si="23"/>
        <v>239263.71428571426</v>
      </c>
      <c r="AH19" s="127">
        <f>IF($E$4="","",VLOOKUP($N19,'3-2.所得算出参照表'!K$5:L$10,2,TRUE))</f>
        <v>1625000</v>
      </c>
      <c r="AI19" s="128">
        <f>IF($AH19="",0,IF($AH19='3-2.所得算出参照表'!$B$5,'3-2.所得算出参照表'!$E$5,IF('4-1.手当等支給メニュー'!$AH19='3-2.所得算出参照表'!$B$6,'4-1.手当等支給メニュー'!$N19*'3-2.所得算出参照表'!$E$6+'3-2.所得算出参照表'!$G$6,IF('4-1.手当等支給メニュー'!$AH19='3-2.所得算出参照表'!$B$7,'4-1.手当等支給メニュー'!$N19*'3-2.所得算出参照表'!$E$7+'3-2.所得算出参照表'!$G$7,IF('4-1.手当等支給メニュー'!$AH19='3-2.所得算出参照表'!$B$8,'4-1.手当等支給メニュー'!$N19*'3-2.所得算出参照表'!$E$8+'3-2.所得算出参照表'!$G$8,IF('4-1.手当等支給メニュー'!$AH19='3-2.所得算出参照表'!$B$9,'4-1.手当等支給メニュー'!$N19*'3-2.所得算出参照表'!$E$9+'3-2.所得算出参照表'!$G$9,IF($AH19='3-2.所得算出参照表'!$B$10,'3-2.所得算出参照表'!$G$10)))))))</f>
        <v>550000</v>
      </c>
      <c r="AJ19" s="90">
        <f t="shared" si="8"/>
        <v>480000</v>
      </c>
      <c r="AK19" s="85">
        <f t="shared" si="9"/>
        <v>297000</v>
      </c>
      <c r="AL19" s="130">
        <f>VLOOKUP($AK19,'3-2.所得算出参照表'!$N$4:$O$11,2,TRUE)</f>
        <v>0.05</v>
      </c>
      <c r="AM19" s="85">
        <f>VLOOKUP($AK19,'3-2.所得算出参照表'!$P$4:$Q$11,2,TRUE)</f>
        <v>0</v>
      </c>
      <c r="AN19" s="85">
        <f t="shared" si="24"/>
        <v>14850</v>
      </c>
      <c r="AO19" s="85">
        <f>$AN19*'3-2.所得算出参照表'!$D$14</f>
        <v>311.85000000000002</v>
      </c>
      <c r="AP19" s="99">
        <f t="shared" si="25"/>
        <v>15100</v>
      </c>
      <c r="AQ19" s="107">
        <f>IF($AH19="",0,IF($AH19='3-2.所得算出参照表'!$B$5,'3-2.所得算出参照表'!$E$5,IF('4-1.手当等支給メニュー'!$AH19='3-2.所得算出参照表'!$B$6,'4-1.手当等支給メニュー'!$N19*'3-2.所得算出参照表'!$E$6+'3-2.所得算出参照表'!$G$6,IF('4-1.手当等支給メニュー'!$AH19='3-2.所得算出参照表'!$B$7,'4-1.手当等支給メニュー'!$N19*'3-2.所得算出参照表'!$E$7+'3-2.所得算出参照表'!$G$7,IF('4-1.手当等支給メニュー'!$AH19='3-2.所得算出参照表'!$B$8,'4-1.手当等支給メニュー'!$N19*'3-2.所得算出参照表'!$E$8+'3-2.所得算出参照表'!$G$8,IF('4-1.手当等支給メニュー'!$AH19='3-2.所得算出参照表'!$B$9,'4-1.手当等支給メニュー'!$N19*'3-2.所得算出参照表'!$E$9+'3-2.所得算出参照表'!$G$9,IF($AH19='3-2.所得算出参照表'!$B$10,'3-2.所得算出参照表'!$G$10)))))))</f>
        <v>550000</v>
      </c>
      <c r="AR19" s="47">
        <f t="shared" si="10"/>
        <v>430000</v>
      </c>
      <c r="AS19" s="95">
        <f t="shared" si="11"/>
        <v>347000</v>
      </c>
      <c r="AT19" s="95">
        <f t="shared" si="12"/>
        <v>5500</v>
      </c>
      <c r="AU19" s="96">
        <f t="shared" si="13"/>
        <v>0.1</v>
      </c>
      <c r="AV19" s="103">
        <f t="shared" si="26"/>
        <v>37700</v>
      </c>
      <c r="AW19" s="120">
        <f t="shared" si="14"/>
        <v>1274621.9999999998</v>
      </c>
    </row>
    <row r="20" spans="2:49" ht="21.95" customHeight="1" x14ac:dyDescent="0.15">
      <c r="B20" s="76">
        <v>6</v>
      </c>
      <c r="C20" s="78">
        <f t="shared" si="0"/>
        <v>1040</v>
      </c>
      <c r="D20" s="438">
        <f t="shared" si="1"/>
        <v>88</v>
      </c>
      <c r="E20" s="452">
        <f>IF($E$4="","",IF(AND($I20&gt;=20,$D20=88,'4-1.参照シートー２'!$R20&lt;=104000),($P20+$V20)*$G$12,0))</f>
        <v>0</v>
      </c>
      <c r="F20" s="494">
        <f>IF('4-1.参照シートー２'!$G20="","",'4-1.参照シートー２'!$G20)</f>
        <v>20100</v>
      </c>
      <c r="G20" s="452">
        <f>IF($E$4="","",IF(AND($I20&gt;=20,$D20=88,$R20&gt;104000),('4-1.参照シートー２'!$R20+$V20)*$G$12,0))</f>
        <v>20100</v>
      </c>
      <c r="H20" s="431">
        <f t="shared" si="27"/>
        <v>5</v>
      </c>
      <c r="I20" s="60">
        <f t="shared" si="28"/>
        <v>25</v>
      </c>
      <c r="J20" s="174">
        <f t="shared" si="2"/>
        <v>1303.5714285714287</v>
      </c>
      <c r="K20" s="361">
        <f t="shared" si="15"/>
        <v>112976.19047619049</v>
      </c>
      <c r="L20" s="174">
        <f t="shared" si="16"/>
        <v>133076.19047619047</v>
      </c>
      <c r="M20" s="442">
        <f t="shared" si="17"/>
        <v>135076.19047619047</v>
      </c>
      <c r="N20" s="73">
        <f t="shared" si="18"/>
        <v>1620914.2857142857</v>
      </c>
      <c r="O20" s="509">
        <f t="shared" si="19"/>
        <v>116976.19047619049</v>
      </c>
      <c r="P20" s="506">
        <f>IF($E$4="",0,IF($O20=0,0,VLOOKUP($O20,'3-1.標準報酬月額・保険料表'!$N$8:$O$57,2,TRUE)))</f>
        <v>118000</v>
      </c>
      <c r="Q20" s="507">
        <f t="shared" si="3"/>
        <v>137076.19047619047</v>
      </c>
      <c r="R20" s="510">
        <f>IF($E$4="",0,IF($Q20=0,0,VLOOKUP($Q20,'3-1.標準報酬月額・保険料表'!$N$8:$O$57,2,TRUE)))</f>
        <v>134000</v>
      </c>
      <c r="S20" s="359">
        <f t="shared" si="20"/>
        <v>137076.19047619047</v>
      </c>
      <c r="T20" s="458">
        <f>IF($E$4="",0,IF($S20=0,0,VLOOKUP($S20,'3-1.標準報酬月額・保険料表'!$N$8:$O$57,2,TRUE)))</f>
        <v>134000</v>
      </c>
      <c r="U20" s="457">
        <f t="shared" si="4"/>
        <v>0</v>
      </c>
      <c r="V20" s="445">
        <f t="shared" si="5"/>
        <v>0</v>
      </c>
      <c r="W20" s="163">
        <f t="shared" si="6"/>
        <v>112976.19047619049</v>
      </c>
      <c r="X20" s="36">
        <f>IF($E$4="",0,IF($I20&lt;20,0,IF($X$13="",0,IF($X$13=2,0,IF($W20&lt;$Y$13,0,IF($T20&lt;=620000,VLOOKUP($T20,'3-1.標準報酬月額・保険料表'!$D$8:$L$42,9,FALSE),'3-1.標準報酬月額・保険料表'!$L$42)+ROUNDDOWN($V20*$AD$7,0))))))</f>
        <v>12261</v>
      </c>
      <c r="Y20" s="25">
        <f>IF($E$4="",0,IF($I20&lt;20,0,IF($U$9="",0,IF($X$13=2,0,IF($E$10&gt;=$Z$13,0,IF($W20&lt;$Y$13,0,VLOOKUP($T20,'3-1.標準報酬月額・保険料表'!$D$8:$J$57,6,FALSE)+ROUNDDOWN($V20*$AA$7,0)))))))</f>
        <v>6894.3</v>
      </c>
      <c r="Z20" s="25">
        <f>IF($E$4="",0,IF($I20&lt;20,0,IF($X$13="",0,IF($X$13=2,0,IF($E$10&lt;$Z$13,0,IF($W20&lt;$Y$13,0,VLOOKUP($T20,'3-1.標準報酬月額・保険料表'!$D$8:$J$57,7,FALSE)+ROUNDDOWN($V20*$AB$7,0)))))))</f>
        <v>0</v>
      </c>
      <c r="AA20" s="41">
        <f t="shared" si="21"/>
        <v>19155.3</v>
      </c>
      <c r="AB20" s="46">
        <f>IF($E$4="",0,IF($AB$13="",0,IF($AB$13=1,0,IF($I20&lt;$AD$13,0,IF($N20&lt;$AC$13,0,IF($T20&lt;=620000,VLOOKUP($T20,'3-1.標準報酬月額・保険料表'!$D$8:$L$42,9,FALSE),'3-1.標準報酬月額・保険料表'!$L$42)+ROUNDDOWN($V20*$AD$7,0))))))</f>
        <v>0</v>
      </c>
      <c r="AC20" s="47">
        <f>IF($E$4="",0,IF($AB$13="",0,IF($AB$13=1,0,IF($I20&lt;$AD$13,0,IF($N20&lt;$AC$13,0,IF($E$10&gt;=$AE$13,0,VLOOKUP($T20,'3-1.標準報酬月額・保険料表'!$D$8:$J$57,6,FALSE)+ROUNDDOWN($V20*$AA$7,0)))))))</f>
        <v>0</v>
      </c>
      <c r="AD20" s="47">
        <f>IF($E$4="",0,IF($AB$13="",0,IF($AB$13=1,0,IF($I20&lt;$AD$13,0,IF($N20&lt;$AC$13,0,IF($E$10&lt;$AE$13,0,VLOOKUP($T20,'3-1.標準報酬月額・保険料表'!$D$8:$J$57,7,FALSE)+ROUNDDOWN($V20*$AB$7,0)))))))</f>
        <v>0</v>
      </c>
      <c r="AE20" s="48">
        <f t="shared" si="22"/>
        <v>0</v>
      </c>
      <c r="AF20" s="38">
        <f t="shared" si="7"/>
        <v>9725.4857142857145</v>
      </c>
      <c r="AG20" s="43">
        <f t="shared" si="23"/>
        <v>239589.0857142857</v>
      </c>
      <c r="AH20" s="127">
        <f>IF($E$4="","",VLOOKUP($N20,'3-2.所得算出参照表'!K$5:L$10,2,TRUE))</f>
        <v>1625000</v>
      </c>
      <c r="AI20" s="128">
        <f>IF($AH20="",0,IF($AH20='3-2.所得算出参照表'!$B$5,'3-2.所得算出参照表'!$E$5,IF('4-1.手当等支給メニュー'!$AH20='3-2.所得算出参照表'!$B$6,'4-1.手当等支給メニュー'!$N20*'3-2.所得算出参照表'!$E$6+'3-2.所得算出参照表'!$G$6,IF('4-1.手当等支給メニュー'!$AH20='3-2.所得算出参照表'!$B$7,'4-1.手当等支給メニュー'!$N20*'3-2.所得算出参照表'!$E$7+'3-2.所得算出参照表'!$G$7,IF('4-1.手当等支給メニュー'!$AH20='3-2.所得算出参照表'!$B$8,'4-1.手当等支給メニュー'!$N20*'3-2.所得算出参照表'!$E$8+'3-2.所得算出参照表'!$G$8,IF('4-1.手当等支給メニュー'!$AH20='3-2.所得算出参照表'!$B$9,'4-1.手当等支給メニュー'!$N20*'3-2.所得算出参照表'!$E$9+'3-2.所得算出参照表'!$G$9,IF($AH20='3-2.所得算出参照表'!$B$10,'3-2.所得算出参照表'!$G$10)))))))</f>
        <v>550000</v>
      </c>
      <c r="AJ20" s="90">
        <f t="shared" si="8"/>
        <v>480000</v>
      </c>
      <c r="AK20" s="85">
        <f t="shared" si="9"/>
        <v>351000</v>
      </c>
      <c r="AL20" s="130">
        <f>VLOOKUP($AK20,'3-2.所得算出参照表'!$N$4:$O$11,2,TRUE)</f>
        <v>0.05</v>
      </c>
      <c r="AM20" s="85">
        <f>VLOOKUP($AK20,'3-2.所得算出参照表'!$P$4:$Q$11,2,TRUE)</f>
        <v>0</v>
      </c>
      <c r="AN20" s="85">
        <f t="shared" si="24"/>
        <v>17550</v>
      </c>
      <c r="AO20" s="85">
        <f>$AN20*'3-2.所得算出参照表'!$D$14</f>
        <v>368.55</v>
      </c>
      <c r="AP20" s="99">
        <f t="shared" si="25"/>
        <v>17900</v>
      </c>
      <c r="AQ20" s="107">
        <f>IF($AH20="",0,IF($AH20='3-2.所得算出参照表'!$B$5,'3-2.所得算出参照表'!$E$5,IF('4-1.手当等支給メニュー'!$AH20='3-2.所得算出参照表'!$B$6,'4-1.手当等支給メニュー'!$N20*'3-2.所得算出参照表'!$E$6+'3-2.所得算出参照表'!$G$6,IF('4-1.手当等支給メニュー'!$AH20='3-2.所得算出参照表'!$B$7,'4-1.手当等支給メニュー'!$N20*'3-2.所得算出参照表'!$E$7+'3-2.所得算出参照表'!$G$7,IF('4-1.手当等支給メニュー'!$AH20='3-2.所得算出参照表'!$B$8,'4-1.手当等支給メニュー'!$N20*'3-2.所得算出参照表'!$E$8+'3-2.所得算出参照表'!$G$8,IF('4-1.手当等支給メニュー'!$AH20='3-2.所得算出参照表'!$B$9,'4-1.手当等支給メニュー'!$N20*'3-2.所得算出参照表'!$E$9+'3-2.所得算出参照表'!$G$9,IF($AH20='3-2.所得算出参照表'!$B$10,'3-2.所得算出参照表'!$G$10)))))))</f>
        <v>550000</v>
      </c>
      <c r="AR20" s="47">
        <f t="shared" si="10"/>
        <v>430000</v>
      </c>
      <c r="AS20" s="95">
        <f t="shared" si="11"/>
        <v>401000</v>
      </c>
      <c r="AT20" s="95">
        <f t="shared" si="12"/>
        <v>5500</v>
      </c>
      <c r="AU20" s="96">
        <f t="shared" si="13"/>
        <v>0.1</v>
      </c>
      <c r="AV20" s="103">
        <f t="shared" si="26"/>
        <v>43100</v>
      </c>
      <c r="AW20" s="120">
        <f t="shared" si="14"/>
        <v>1320325.2</v>
      </c>
    </row>
    <row r="21" spans="2:49" ht="21.95" customHeight="1" x14ac:dyDescent="0.15">
      <c r="B21" s="76">
        <v>7</v>
      </c>
      <c r="C21" s="78">
        <f t="shared" si="0"/>
        <v>1040</v>
      </c>
      <c r="D21" s="438">
        <f t="shared" si="1"/>
        <v>88</v>
      </c>
      <c r="E21" s="452">
        <f>IF($E$4="","",IF(AND($I21&gt;=20,$D21=88,'4-1.参照シートー２'!$R21&lt;=104000),($P21+$V21)*$G$12,0))</f>
        <v>0</v>
      </c>
      <c r="F21" s="495">
        <f>IF('4-1.参照シートー２'!$G21="","",'4-1.参照シートー２'!$G21)</f>
        <v>21300</v>
      </c>
      <c r="G21" s="453">
        <f>IF($E$4="","",IF(AND($I21&gt;=20,$D21=88,$R21&gt;104000),('4-1.参照シートー２'!$R21+$V21)*$G$12,0))</f>
        <v>21300</v>
      </c>
      <c r="H21" s="431">
        <f t="shared" si="27"/>
        <v>6</v>
      </c>
      <c r="I21" s="60">
        <f t="shared" si="28"/>
        <v>26</v>
      </c>
      <c r="J21" s="174">
        <f t="shared" si="2"/>
        <v>1355.7142857142858</v>
      </c>
      <c r="K21" s="361">
        <f t="shared" si="15"/>
        <v>117495.23809523811</v>
      </c>
      <c r="L21" s="174">
        <f t="shared" si="16"/>
        <v>138795.23809523811</v>
      </c>
      <c r="M21" s="442">
        <f t="shared" si="17"/>
        <v>140795.23809523811</v>
      </c>
      <c r="N21" s="73">
        <f t="shared" si="18"/>
        <v>1689542.8571428573</v>
      </c>
      <c r="O21" s="509">
        <f t="shared" si="19"/>
        <v>121495.23809523811</v>
      </c>
      <c r="P21" s="506">
        <f>IF($E$4="",0,IF($O21=0,0,VLOOKUP($O21,'3-1.標準報酬月額・保険料表'!$N$8:$O$57,2,TRUE)))</f>
        <v>118000</v>
      </c>
      <c r="Q21" s="507">
        <f t="shared" si="3"/>
        <v>142795.23809523811</v>
      </c>
      <c r="R21" s="510">
        <f>IF($E$4="",0,IF($Q21=0,0,VLOOKUP($Q21,'3-1.標準報酬月額・保険料表'!$N$8:$O$57,2,TRUE)))</f>
        <v>142000</v>
      </c>
      <c r="S21" s="359">
        <f t="shared" si="20"/>
        <v>142795.23809523811</v>
      </c>
      <c r="T21" s="458">
        <f>IF($E$4="",0,IF($S21=0,0,VLOOKUP($S21,'3-1.標準報酬月額・保険料表'!$N$8:$O$57,2,TRUE)))</f>
        <v>142000</v>
      </c>
      <c r="U21" s="457">
        <f t="shared" si="4"/>
        <v>0</v>
      </c>
      <c r="V21" s="445">
        <f t="shared" si="5"/>
        <v>0</v>
      </c>
      <c r="W21" s="163">
        <f t="shared" si="6"/>
        <v>117495.23809523811</v>
      </c>
      <c r="X21" s="36">
        <f>IF($E$4="",0,IF($I21&lt;20,0,IF($X$13="",0,IF($X$13=2,0,IF($W21&lt;$Y$13,0,IF($T21&lt;=620000,VLOOKUP($T21,'3-1.標準報酬月額・保険料表'!$D$8:$L$42,9,FALSE),'3-1.標準報酬月額・保険料表'!$L$42)+ROUNDDOWN($V21*$AD$7,0))))))</f>
        <v>12993</v>
      </c>
      <c r="Y21" s="25">
        <f>IF($E$4="",0,IF($I21&lt;20,0,IF($U$9="",0,IF($X$13=2,0,IF($E$10&gt;=$Z$13,0,IF($W21&lt;$Y$13,0,VLOOKUP($T21,'3-1.標準報酬月額・保険料表'!$D$8:$J$57,6,FALSE)+ROUNDDOWN($V21*$AA$7,0)))))))</f>
        <v>7305.9000000000005</v>
      </c>
      <c r="Z21" s="25">
        <f>IF($E$4="",0,IF($I21&lt;20,0,IF($X$13="",0,IF($X$13=2,0,IF($E$10&lt;$Z$13,0,IF($W21&lt;$Y$13,0,VLOOKUP($T21,'3-1.標準報酬月額・保険料表'!$D$8:$J$57,7,FALSE)+ROUNDDOWN($V21*$AB$7,0)))))))</f>
        <v>0</v>
      </c>
      <c r="AA21" s="41">
        <f t="shared" si="21"/>
        <v>20298.900000000001</v>
      </c>
      <c r="AB21" s="46">
        <f>IF($E$4="",0,IF($AB$13="",0,IF($AB$13=1,0,IF($I21&lt;$AD$13,0,IF($N21&lt;$AC$13,0,IF($T21&lt;=620000,VLOOKUP($T21,'3-1.標準報酬月額・保険料表'!$D$8:$L$42,9,FALSE),'3-1.標準報酬月額・保険料表'!$L$42)+ROUNDDOWN($V21*$AD$7,0))))))</f>
        <v>0</v>
      </c>
      <c r="AC21" s="47">
        <f>IF($E$4="",0,IF($AB$13="",0,IF($AB$13=1,0,IF($I21&lt;$AD$13,0,IF($N21&lt;$AC$13,0,IF($E$10&gt;=$AE$13,0,VLOOKUP($T21,'3-1.標準報酬月額・保険料表'!$D$8:$J$57,6,FALSE)+ROUNDDOWN($V21*$AA$7,0)))))))</f>
        <v>0</v>
      </c>
      <c r="AD21" s="47">
        <f>IF($E$4="",0,IF($AB$13="",0,IF($AB$13=1,0,IF($I21&lt;$AD$13,0,IF($N21&lt;$AC$13,0,IF($E$10&lt;$AE$13,0,VLOOKUP($T21,'3-1.標準報酬月額・保険料表'!$D$8:$J$57,7,FALSE)+ROUNDDOWN($V21*$AB$7,0)))))))</f>
        <v>0</v>
      </c>
      <c r="AE21" s="48">
        <f t="shared" si="22"/>
        <v>0</v>
      </c>
      <c r="AF21" s="38">
        <f t="shared" si="7"/>
        <v>10137.257142857145</v>
      </c>
      <c r="AG21" s="43">
        <f t="shared" si="23"/>
        <v>253724.05714285717</v>
      </c>
      <c r="AH21" s="127">
        <f>IF($E$4="","",VLOOKUP($N21,'3-2.所得算出参照表'!K$5:L$10,2,TRUE))</f>
        <v>1800000</v>
      </c>
      <c r="AI21" s="128">
        <f>IF($AH21="",0,IF($AH21='3-2.所得算出参照表'!$B$5,'3-2.所得算出参照表'!$E$5,IF('4-1.手当等支給メニュー'!$AH21='3-2.所得算出参照表'!$B$6,'4-1.手当等支給メニュー'!$N21*'3-2.所得算出参照表'!$E$6+'3-2.所得算出参照表'!$G$6,IF('4-1.手当等支給メニュー'!$AH21='3-2.所得算出参照表'!$B$7,'4-1.手当等支給メニュー'!$N21*'3-2.所得算出参照表'!$E$7+'3-2.所得算出参照表'!$G$7,IF('4-1.手当等支給メニュー'!$AH21='3-2.所得算出参照表'!$B$8,'4-1.手当等支給メニュー'!$N21*'3-2.所得算出参照表'!$E$8+'3-2.所得算出参照表'!$G$8,IF('4-1.手当等支給メニュー'!$AH21='3-2.所得算出参照表'!$B$9,'4-1.手当等支給メニュー'!$N21*'3-2.所得算出参照表'!$E$9+'3-2.所得算出参照表'!$G$9,IF($AH21='3-2.所得算出参照表'!$B$10,'3-2.所得算出参照表'!$G$10)))))))</f>
        <v>575817.14285714296</v>
      </c>
      <c r="AJ21" s="90">
        <f t="shared" si="8"/>
        <v>480000</v>
      </c>
      <c r="AK21" s="85">
        <f t="shared" si="9"/>
        <v>380000</v>
      </c>
      <c r="AL21" s="130">
        <f>VLOOKUP($AK21,'3-2.所得算出参照表'!$N$4:$O$11,2,TRUE)</f>
        <v>0.05</v>
      </c>
      <c r="AM21" s="85">
        <f>VLOOKUP($AK21,'3-2.所得算出参照表'!$P$4:$Q$11,2,TRUE)</f>
        <v>0</v>
      </c>
      <c r="AN21" s="85">
        <f t="shared" si="24"/>
        <v>19000</v>
      </c>
      <c r="AO21" s="85">
        <f>$AN21*'3-2.所得算出参照表'!$D$14</f>
        <v>399</v>
      </c>
      <c r="AP21" s="99">
        <f t="shared" si="25"/>
        <v>19300</v>
      </c>
      <c r="AQ21" s="107">
        <f>IF($AH21="",0,IF($AH21='3-2.所得算出参照表'!$B$5,'3-2.所得算出参照表'!$E$5,IF('4-1.手当等支給メニュー'!$AH21='3-2.所得算出参照表'!$B$6,'4-1.手当等支給メニュー'!$N21*'3-2.所得算出参照表'!$E$6+'3-2.所得算出参照表'!$G$6,IF('4-1.手当等支給メニュー'!$AH21='3-2.所得算出参照表'!$B$7,'4-1.手当等支給メニュー'!$N21*'3-2.所得算出参照表'!$E$7+'3-2.所得算出参照表'!$G$7,IF('4-1.手当等支給メニュー'!$AH21='3-2.所得算出参照表'!$B$8,'4-1.手当等支給メニュー'!$N21*'3-2.所得算出参照表'!$E$8+'3-2.所得算出参照表'!$G$8,IF('4-1.手当等支給メニュー'!$AH21='3-2.所得算出参照表'!$B$9,'4-1.手当等支給メニュー'!$N21*'3-2.所得算出参照表'!$E$9+'3-2.所得算出参照表'!$G$9,IF($AH21='3-2.所得算出参照表'!$B$10,'3-2.所得算出参照表'!$G$10)))))))</f>
        <v>575817.14285714296</v>
      </c>
      <c r="AR21" s="47">
        <f t="shared" si="10"/>
        <v>430000</v>
      </c>
      <c r="AS21" s="95">
        <f t="shared" si="11"/>
        <v>430000</v>
      </c>
      <c r="AT21" s="95">
        <f t="shared" si="12"/>
        <v>5500</v>
      </c>
      <c r="AU21" s="96">
        <f t="shared" si="13"/>
        <v>0.1</v>
      </c>
      <c r="AV21" s="103">
        <f t="shared" si="26"/>
        <v>46000</v>
      </c>
      <c r="AW21" s="120">
        <f t="shared" si="14"/>
        <v>1370518.8</v>
      </c>
    </row>
    <row r="22" spans="2:49" ht="21.95" customHeight="1" x14ac:dyDescent="0.15">
      <c r="B22" s="76">
        <v>8</v>
      </c>
      <c r="C22" s="78">
        <f t="shared" si="0"/>
        <v>1040</v>
      </c>
      <c r="D22" s="438">
        <f t="shared" si="1"/>
        <v>88</v>
      </c>
      <c r="E22" s="452">
        <f>IF($E$4="","",IF(AND($I22&gt;=20,$D22=88,'4-1.参照シートー２'!$R22&lt;=104000),($P22+$V22)*$G$12,0))</f>
        <v>0</v>
      </c>
      <c r="F22" s="495">
        <f>IF('4-1.参照シートー２'!$G22="","",'4-1.参照シートー２'!$G22)</f>
        <v>22500</v>
      </c>
      <c r="G22" s="453">
        <f>IF($E$4="","",IF(AND($I22&gt;=20,$D22=88,$R22&gt;104000),('4-1.参照シートー２'!$R22+$V22)*$G$12,0))</f>
        <v>22500</v>
      </c>
      <c r="H22" s="431">
        <f t="shared" si="27"/>
        <v>7</v>
      </c>
      <c r="I22" s="60">
        <f t="shared" si="28"/>
        <v>27</v>
      </c>
      <c r="J22" s="174">
        <f t="shared" si="2"/>
        <v>1407.8571428571429</v>
      </c>
      <c r="K22" s="361">
        <f t="shared" si="15"/>
        <v>122014.28571428572</v>
      </c>
      <c r="L22" s="174">
        <f t="shared" si="16"/>
        <v>144514.28571428574</v>
      </c>
      <c r="M22" s="442">
        <f t="shared" si="17"/>
        <v>146514.28571428574</v>
      </c>
      <c r="N22" s="73">
        <f t="shared" si="18"/>
        <v>1758171.4285714289</v>
      </c>
      <c r="O22" s="509">
        <f t="shared" si="19"/>
        <v>126014.28571428572</v>
      </c>
      <c r="P22" s="506">
        <f>IF($E$4="",0,IF($O22=0,0,VLOOKUP($O22,'3-1.標準報酬月額・保険料表'!$N$8:$O$57,2,TRUE)))</f>
        <v>126000</v>
      </c>
      <c r="Q22" s="507">
        <f t="shared" si="3"/>
        <v>148514.28571428574</v>
      </c>
      <c r="R22" s="510">
        <f>IF($E$4="",0,IF($Q22=0,0,VLOOKUP($Q22,'3-1.標準報酬月額・保険料表'!$N$8:$O$57,2,TRUE)))</f>
        <v>150000</v>
      </c>
      <c r="S22" s="359">
        <f t="shared" si="20"/>
        <v>148514.28571428574</v>
      </c>
      <c r="T22" s="458">
        <f>IF($E$4="",0,IF($S22=0,0,VLOOKUP($S22,'3-1.標準報酬月額・保険料表'!$N$8:$O$57,2,TRUE)))</f>
        <v>150000</v>
      </c>
      <c r="U22" s="457">
        <f t="shared" si="4"/>
        <v>0</v>
      </c>
      <c r="V22" s="445">
        <f t="shared" si="5"/>
        <v>0</v>
      </c>
      <c r="W22" s="163">
        <f t="shared" si="6"/>
        <v>122014.28571428572</v>
      </c>
      <c r="X22" s="36">
        <f>IF($E$4="",0,IF($I22&lt;20,0,IF($X$13="",0,IF($X$13=2,0,IF($W22&lt;$Y$13,0,IF($T22&lt;=620000,VLOOKUP($T22,'3-1.標準報酬月額・保険料表'!$D$8:$L$42,9,FALSE),'3-1.標準報酬月額・保険料表'!$L$42)+ROUNDDOWN($V22*$AD$7,0))))))</f>
        <v>13725</v>
      </c>
      <c r="Y22" s="25">
        <f>IF($E$4="",0,IF($I22&lt;20,0,IF($U$9="",0,IF($X$13=2,0,IF($E$10&gt;=$Z$13,0,IF($W22&lt;$Y$13,0,VLOOKUP($T22,'3-1.標準報酬月額・保険料表'!$D$8:$J$57,6,FALSE)+ROUNDDOWN($V22*$AA$7,0)))))))</f>
        <v>7717.5</v>
      </c>
      <c r="Z22" s="25">
        <f>IF($E$4="",0,IF($I22&lt;20,0,IF($X$13="",0,IF($X$13=2,0,IF($E$10&lt;$Z$13,0,IF($W22&lt;$Y$13,0,VLOOKUP($T22,'3-1.標準報酬月額・保険料表'!$D$8:$J$57,7,FALSE)+ROUNDDOWN($V22*$AB$7,0)))))))</f>
        <v>0</v>
      </c>
      <c r="AA22" s="41">
        <f t="shared" si="21"/>
        <v>21442.5</v>
      </c>
      <c r="AB22" s="46">
        <f>IF($E$4="",0,IF($AB$13="",0,IF($AB$13=1,0,IF($I22&lt;$AD$13,0,IF($N22&lt;$AC$13,0,IF($T22&lt;=620000,VLOOKUP($T22,'3-1.標準報酬月額・保険料表'!$D$8:$L$42,9,FALSE),'3-1.標準報酬月額・保険料表'!$L$42)+ROUNDDOWN($V22*$AD$7,0))))))</f>
        <v>0</v>
      </c>
      <c r="AC22" s="47">
        <f>IF($E$4="",0,IF($AB$13="",0,IF($AB$13=1,0,IF($I22&lt;$AD$13,0,IF($N22&lt;$AC$13,0,IF($E$10&gt;=$AE$13,0,VLOOKUP($T22,'3-1.標準報酬月額・保険料表'!$D$8:$J$57,6,FALSE)+ROUNDDOWN($V22*$AA$7,0)))))))</f>
        <v>0</v>
      </c>
      <c r="AD22" s="47">
        <f>IF($E$4="",0,IF($AB$13="",0,IF($AB$13=1,0,IF($I22&lt;$AD$13,0,IF($N22&lt;$AC$13,0,IF($E$10&lt;$AE$13,0,VLOOKUP($T22,'3-1.標準報酬月額・保険料表'!$D$8:$J$57,7,FALSE)+ROUNDDOWN($V22*$AB$7,0)))))))</f>
        <v>0</v>
      </c>
      <c r="AE22" s="48">
        <f t="shared" si="22"/>
        <v>0</v>
      </c>
      <c r="AF22" s="38">
        <f t="shared" si="7"/>
        <v>10549.028571428573</v>
      </c>
      <c r="AG22" s="43">
        <f t="shared" si="23"/>
        <v>267859.02857142856</v>
      </c>
      <c r="AH22" s="127">
        <f>IF($E$4="","",VLOOKUP($N22,'3-2.所得算出参照表'!K$5:L$10,2,TRUE))</f>
        <v>1800000</v>
      </c>
      <c r="AI22" s="128">
        <f>IF($AH22="",0,IF($AH22='3-2.所得算出参照表'!$B$5,'3-2.所得算出参照表'!$E$5,IF('4-1.手当等支給メニュー'!$AH22='3-2.所得算出参照表'!$B$6,'4-1.手当等支給メニュー'!$N22*'3-2.所得算出参照表'!$E$6+'3-2.所得算出参照表'!$G$6,IF('4-1.手当等支給メニュー'!$AH22='3-2.所得算出参照表'!$B$7,'4-1.手当等支給メニュー'!$N22*'3-2.所得算出参照表'!$E$7+'3-2.所得算出参照表'!$G$7,IF('4-1.手当等支給メニュー'!$AH22='3-2.所得算出参照表'!$B$8,'4-1.手当等支給メニュー'!$N22*'3-2.所得算出参照表'!$E$8+'3-2.所得算出参照表'!$G$8,IF('4-1.手当等支給メニュー'!$AH22='3-2.所得算出参照表'!$B$9,'4-1.手当等支給メニュー'!$N22*'3-2.所得算出参照表'!$E$9+'3-2.所得算出参照表'!$G$9,IF($AH22='3-2.所得算出参照表'!$B$10,'3-2.所得算出参照表'!$G$10)))))))</f>
        <v>603268.57142857159</v>
      </c>
      <c r="AJ22" s="90">
        <f t="shared" si="8"/>
        <v>480000</v>
      </c>
      <c r="AK22" s="85">
        <f t="shared" si="9"/>
        <v>407000</v>
      </c>
      <c r="AL22" s="130">
        <f>VLOOKUP($AK22,'3-2.所得算出参照表'!$N$4:$O$11,2,TRUE)</f>
        <v>0.05</v>
      </c>
      <c r="AM22" s="85">
        <f>VLOOKUP($AK22,'3-2.所得算出参照表'!$P$4:$Q$11,2,TRUE)</f>
        <v>0</v>
      </c>
      <c r="AN22" s="85">
        <f t="shared" si="24"/>
        <v>20350</v>
      </c>
      <c r="AO22" s="85">
        <f>$AN22*'3-2.所得算出参照表'!$D$14</f>
        <v>427.35</v>
      </c>
      <c r="AP22" s="99">
        <f t="shared" si="25"/>
        <v>20700</v>
      </c>
      <c r="AQ22" s="107">
        <f>IF($AH22="",0,IF($AH22='3-2.所得算出参照表'!$B$5,'3-2.所得算出参照表'!$E$5,IF('4-1.手当等支給メニュー'!$AH22='3-2.所得算出参照表'!$B$6,'4-1.手当等支給メニュー'!$N22*'3-2.所得算出参照表'!$E$6+'3-2.所得算出参照表'!$G$6,IF('4-1.手当等支給メニュー'!$AH22='3-2.所得算出参照表'!$B$7,'4-1.手当等支給メニュー'!$N22*'3-2.所得算出参照表'!$E$7+'3-2.所得算出参照表'!$G$7,IF('4-1.手当等支給メニュー'!$AH22='3-2.所得算出参照表'!$B$8,'4-1.手当等支給メニュー'!$N22*'3-2.所得算出参照表'!$E$8+'3-2.所得算出参照表'!$G$8,IF('4-1.手当等支給メニュー'!$AH22='3-2.所得算出参照表'!$B$9,'4-1.手当等支給メニュー'!$N22*'3-2.所得算出参照表'!$E$9+'3-2.所得算出参照表'!$G$9,IF($AH22='3-2.所得算出参照表'!$B$10,'3-2.所得算出参照表'!$G$10)))))))</f>
        <v>603268.57142857159</v>
      </c>
      <c r="AR22" s="47">
        <f t="shared" si="10"/>
        <v>430000</v>
      </c>
      <c r="AS22" s="95">
        <f t="shared" si="11"/>
        <v>457000</v>
      </c>
      <c r="AT22" s="95">
        <f t="shared" si="12"/>
        <v>5500</v>
      </c>
      <c r="AU22" s="96">
        <f t="shared" si="13"/>
        <v>0.1</v>
      </c>
      <c r="AV22" s="103">
        <f t="shared" si="26"/>
        <v>48700</v>
      </c>
      <c r="AW22" s="120">
        <f t="shared" si="14"/>
        <v>1420912.4000000004</v>
      </c>
    </row>
    <row r="23" spans="2:49" ht="21.95" customHeight="1" x14ac:dyDescent="0.15">
      <c r="B23" s="76">
        <v>9</v>
      </c>
      <c r="C23" s="78">
        <f t="shared" si="0"/>
        <v>1040</v>
      </c>
      <c r="D23" s="438">
        <f t="shared" si="1"/>
        <v>88</v>
      </c>
      <c r="E23" s="452">
        <f>IF($E$4="","",IF(AND($I23&gt;=20,$D23=88,'4-1.参照シートー２'!$R23&lt;=104000),($P23+$V23)*$G$12,0))</f>
        <v>0</v>
      </c>
      <c r="F23" s="495">
        <f>IF('4-1.参照シートー２'!$G23="","",'4-1.参照シートー２'!$G23)</f>
        <v>22500</v>
      </c>
      <c r="G23" s="453">
        <f>IF($E$4="","",IF(AND($I23&gt;=20,$D23=88,$R23&gt;104000),('4-1.参照シートー２'!$R23+$V23)*$G$12,0))</f>
        <v>22500</v>
      </c>
      <c r="H23" s="431">
        <f t="shared" si="27"/>
        <v>8</v>
      </c>
      <c r="I23" s="60">
        <f t="shared" si="28"/>
        <v>28</v>
      </c>
      <c r="J23" s="174">
        <f t="shared" si="2"/>
        <v>1460</v>
      </c>
      <c r="K23" s="361">
        <f t="shared" si="15"/>
        <v>126533.33333333333</v>
      </c>
      <c r="L23" s="174">
        <f t="shared" si="16"/>
        <v>149033.33333333331</v>
      </c>
      <c r="M23" s="442">
        <f t="shared" si="17"/>
        <v>151033.33333333331</v>
      </c>
      <c r="N23" s="73">
        <f t="shared" si="18"/>
        <v>1812399.9999999998</v>
      </c>
      <c r="O23" s="509">
        <f t="shared" si="19"/>
        <v>130533.33333333333</v>
      </c>
      <c r="P23" s="506">
        <f>IF($E$4="",0,IF($O23=0,0,VLOOKUP($O23,'3-1.標準報酬月額・保険料表'!$N$8:$O$57,2,TRUE)))</f>
        <v>134000</v>
      </c>
      <c r="Q23" s="507">
        <f t="shared" si="3"/>
        <v>153033.33333333331</v>
      </c>
      <c r="R23" s="510">
        <f>IF($E$4="",0,IF($Q23=0,0,VLOOKUP($Q23,'3-1.標準報酬月額・保険料表'!$N$8:$O$57,2,TRUE)))</f>
        <v>150000</v>
      </c>
      <c r="S23" s="359">
        <f t="shared" si="20"/>
        <v>153033.33333333331</v>
      </c>
      <c r="T23" s="458">
        <f>IF($E$4="",0,IF($S23=0,0,VLOOKUP($S23,'3-1.標準報酬月額・保険料表'!$N$8:$O$57,2,TRUE)))</f>
        <v>150000</v>
      </c>
      <c r="U23" s="457">
        <f t="shared" si="4"/>
        <v>0</v>
      </c>
      <c r="V23" s="445">
        <f t="shared" si="5"/>
        <v>0</v>
      </c>
      <c r="W23" s="163">
        <f t="shared" si="6"/>
        <v>126533.33333333333</v>
      </c>
      <c r="X23" s="36">
        <f>IF($E$4="",0,IF($I23&lt;20,0,IF($X$13="",0,IF($X$13=2,0,IF($W23&lt;$Y$13,0,IF($T23&lt;=620000,VLOOKUP($T23,'3-1.標準報酬月額・保険料表'!$D$8:$L$42,9,FALSE),'3-1.標準報酬月額・保険料表'!$L$42)+ROUNDDOWN($V23*$AD$7,0))))))</f>
        <v>13725</v>
      </c>
      <c r="Y23" s="25">
        <f>IF($E$4="",0,IF($I23&lt;20,0,IF($U$9="",0,IF($X$13=2,0,IF($E$10&gt;=$Z$13,0,IF($W23&lt;$Y$13,0,VLOOKUP($T23,'3-1.標準報酬月額・保険料表'!$D$8:$J$57,6,FALSE)+ROUNDDOWN($V23*$AA$7,0)))))))</f>
        <v>7717.5</v>
      </c>
      <c r="Z23" s="25">
        <f>IF($E$4="",0,IF($I23&lt;20,0,IF($X$13="",0,IF($X$13=2,0,IF($E$10&lt;$Z$13,0,IF($W23&lt;$Y$13,0,VLOOKUP($T23,'3-1.標準報酬月額・保険料表'!$D$8:$J$57,7,FALSE)+ROUNDDOWN($V23*$AB$7,0)))))))</f>
        <v>0</v>
      </c>
      <c r="AA23" s="41">
        <f t="shared" si="21"/>
        <v>21442.5</v>
      </c>
      <c r="AB23" s="46">
        <f>IF($E$4="",0,IF($AB$13="",0,IF($AB$13=1,0,IF($I23&lt;$AD$13,0,IF($N23&lt;$AC$13,0,IF($T23&lt;=620000,VLOOKUP($T23,'3-1.標準報酬月額・保険料表'!$D$8:$L$42,9,FALSE),'3-1.標準報酬月額・保険料表'!$L$42)+ROUNDDOWN($V23*$AD$7,0))))))</f>
        <v>0</v>
      </c>
      <c r="AC23" s="47">
        <f>IF($E$4="",0,IF($AB$13="",0,IF($AB$13=1,0,IF($I23&lt;$AD$13,0,IF($N23&lt;$AC$13,0,IF($E$10&gt;=$AE$13,0,VLOOKUP($T23,'3-1.標準報酬月額・保険料表'!$D$8:$J$57,6,FALSE)+ROUNDDOWN($V23*$AA$7,0)))))))</f>
        <v>0</v>
      </c>
      <c r="AD23" s="47">
        <f>IF($E$4="",0,IF($AB$13="",0,IF($AB$13=1,0,IF($I23&lt;$AD$13,0,IF($N23&lt;$AC$13,0,IF($E$10&lt;$AE$13,0,VLOOKUP($T23,'3-1.標準報酬月額・保険料表'!$D$8:$J$57,7,FALSE)+ROUNDDOWN($V23*$AB$7,0)))))))</f>
        <v>0</v>
      </c>
      <c r="AE23" s="48">
        <f t="shared" si="22"/>
        <v>0</v>
      </c>
      <c r="AF23" s="38">
        <f t="shared" si="7"/>
        <v>10874.4</v>
      </c>
      <c r="AG23" s="43">
        <f t="shared" si="23"/>
        <v>268184.40000000002</v>
      </c>
      <c r="AH23" s="127">
        <f>IF($E$4="","",VLOOKUP($N23,'3-2.所得算出参照表'!K$5:L$10,2,TRUE))</f>
        <v>3600000</v>
      </c>
      <c r="AI23" s="128">
        <f>IF($AH23="",0,IF($AH23='3-2.所得算出参照表'!$B$5,'3-2.所得算出参照表'!$E$5,IF('4-1.手当等支給メニュー'!$AH23='3-2.所得算出参照表'!$B$6,'4-1.手当等支給メニュー'!$N23*'3-2.所得算出参照表'!$E$6+'3-2.所得算出参照表'!$G$6,IF('4-1.手当等支給メニュー'!$AH23='3-2.所得算出参照表'!$B$7,'4-1.手当等支給メニュー'!$N23*'3-2.所得算出参照表'!$E$7+'3-2.所得算出参照表'!$G$7,IF('4-1.手当等支給メニュー'!$AH23='3-2.所得算出参照表'!$B$8,'4-1.手当等支給メニュー'!$N23*'3-2.所得算出参照表'!$E$8+'3-2.所得算出参照表'!$G$8,IF('4-1.手当等支給メニュー'!$AH23='3-2.所得算出参照表'!$B$9,'4-1.手当等支給メニュー'!$N23*'3-2.所得算出参照表'!$E$9+'3-2.所得算出参照表'!$G$9,IF($AH23='3-2.所得算出参照表'!$B$10,'3-2.所得算出参照表'!$G$10)))))))</f>
        <v>623719.99999999988</v>
      </c>
      <c r="AJ23" s="90">
        <f t="shared" si="8"/>
        <v>480000</v>
      </c>
      <c r="AK23" s="85">
        <f t="shared" si="9"/>
        <v>440000</v>
      </c>
      <c r="AL23" s="130">
        <f>VLOOKUP($AK23,'3-2.所得算出参照表'!$N$4:$O$11,2,TRUE)</f>
        <v>0.05</v>
      </c>
      <c r="AM23" s="85">
        <f>VLOOKUP($AK23,'3-2.所得算出参照表'!$P$4:$Q$11,2,TRUE)</f>
        <v>0</v>
      </c>
      <c r="AN23" s="85">
        <f t="shared" si="24"/>
        <v>22000</v>
      </c>
      <c r="AO23" s="85">
        <f>$AN23*'3-2.所得算出参照表'!$D$14</f>
        <v>462.00000000000006</v>
      </c>
      <c r="AP23" s="99">
        <f t="shared" si="25"/>
        <v>22400</v>
      </c>
      <c r="AQ23" s="107">
        <f>IF($AH23="",0,IF($AH23='3-2.所得算出参照表'!$B$5,'3-2.所得算出参照表'!$E$5,IF('4-1.手当等支給メニュー'!$AH23='3-2.所得算出参照表'!$B$6,'4-1.手当等支給メニュー'!$N23*'3-2.所得算出参照表'!$E$6+'3-2.所得算出参照表'!$G$6,IF('4-1.手当等支給メニュー'!$AH23='3-2.所得算出参照表'!$B$7,'4-1.手当等支給メニュー'!$N23*'3-2.所得算出参照表'!$E$7+'3-2.所得算出参照表'!$G$7,IF('4-1.手当等支給メニュー'!$AH23='3-2.所得算出参照表'!$B$8,'4-1.手当等支給メニュー'!$N23*'3-2.所得算出参照表'!$E$8+'3-2.所得算出参照表'!$G$8,IF('4-1.手当等支給メニュー'!$AH23='3-2.所得算出参照表'!$B$9,'4-1.手当等支給メニュー'!$N23*'3-2.所得算出参照表'!$E$9+'3-2.所得算出参照表'!$G$9,IF($AH23='3-2.所得算出参照表'!$B$10,'3-2.所得算出参照表'!$G$10)))))))</f>
        <v>623719.99999999988</v>
      </c>
      <c r="AR23" s="47">
        <f t="shared" si="10"/>
        <v>430000</v>
      </c>
      <c r="AS23" s="95">
        <f t="shared" si="11"/>
        <v>490000</v>
      </c>
      <c r="AT23" s="95">
        <f t="shared" si="12"/>
        <v>5500</v>
      </c>
      <c r="AU23" s="96">
        <f t="shared" si="13"/>
        <v>0.1</v>
      </c>
      <c r="AV23" s="103">
        <f t="shared" si="26"/>
        <v>52000</v>
      </c>
      <c r="AW23" s="120">
        <f t="shared" si="14"/>
        <v>1469815.5999999996</v>
      </c>
    </row>
    <row r="24" spans="2:49" ht="21.95" customHeight="1" x14ac:dyDescent="0.15">
      <c r="B24" s="76">
        <v>10</v>
      </c>
      <c r="C24" s="78">
        <f t="shared" si="0"/>
        <v>1040</v>
      </c>
      <c r="D24" s="438">
        <f t="shared" si="1"/>
        <v>88</v>
      </c>
      <c r="E24" s="452">
        <f>IF($E$4="","",IF(AND($I24&gt;=20,$D24=88,'4-1.参照シートー２'!$R24&lt;=104000),($P24+$V24)*$G$12,0))</f>
        <v>0</v>
      </c>
      <c r="F24" s="495">
        <f>IF('4-1.参照シートー２'!$G24="","",'4-1.参照シートー２'!$G24)</f>
        <v>24000</v>
      </c>
      <c r="G24" s="453">
        <f>IF($E$4="","",IF(AND($I24&gt;=20,$D24=88,$R24&gt;104000),('4-1.参照シートー２'!$R24+$V24)*$G$12,0))</f>
        <v>24000</v>
      </c>
      <c r="H24" s="431">
        <f t="shared" si="27"/>
        <v>9</v>
      </c>
      <c r="I24" s="60">
        <f t="shared" si="28"/>
        <v>29</v>
      </c>
      <c r="J24" s="174">
        <f t="shared" si="2"/>
        <v>1512.1428571428571</v>
      </c>
      <c r="K24" s="361">
        <f t="shared" si="15"/>
        <v>131052.38095238095</v>
      </c>
      <c r="L24" s="174">
        <f t="shared" si="16"/>
        <v>155052.38095238095</v>
      </c>
      <c r="M24" s="442">
        <f t="shared" si="17"/>
        <v>157052.38095238095</v>
      </c>
      <c r="N24" s="73">
        <f t="shared" si="18"/>
        <v>1884628.5714285714</v>
      </c>
      <c r="O24" s="509">
        <f t="shared" si="19"/>
        <v>135052.38095238095</v>
      </c>
      <c r="P24" s="506">
        <f>IF($E$4="",0,IF($O24=0,0,VLOOKUP($O24,'3-1.標準報酬月額・保険料表'!$N$8:$O$57,2,TRUE)))</f>
        <v>134000</v>
      </c>
      <c r="Q24" s="507">
        <f t="shared" si="3"/>
        <v>159052.38095238095</v>
      </c>
      <c r="R24" s="510">
        <f>IF($E$4="",0,IF($Q24=0,0,VLOOKUP($Q24,'3-1.標準報酬月額・保険料表'!$N$8:$O$57,2,TRUE)))</f>
        <v>160000</v>
      </c>
      <c r="S24" s="359">
        <f t="shared" si="20"/>
        <v>159052.38095238095</v>
      </c>
      <c r="T24" s="458">
        <f>IF($E$4="",0,IF($S24=0,0,VLOOKUP($S24,'3-1.標準報酬月額・保険料表'!$N$8:$O$57,2,TRUE)))</f>
        <v>160000</v>
      </c>
      <c r="U24" s="457">
        <f t="shared" si="4"/>
        <v>0</v>
      </c>
      <c r="V24" s="445">
        <f t="shared" si="5"/>
        <v>0</v>
      </c>
      <c r="W24" s="163">
        <f t="shared" si="6"/>
        <v>131052.38095238095</v>
      </c>
      <c r="X24" s="36">
        <f>IF($E$4="",0,IF($I24&lt;20,0,IF($X$13="",0,IF($X$13=2,0,IF($W24&lt;$Y$13,0,IF($T24&lt;=620000,VLOOKUP($T24,'3-1.標準報酬月額・保険料表'!$D$8:$L$42,9,FALSE),'3-1.標準報酬月額・保険料表'!$L$42)+ROUNDDOWN($V24*$AD$7,0))))))</f>
        <v>14640</v>
      </c>
      <c r="Y24" s="25">
        <f>IF($E$4="",0,IF($I24&lt;20,0,IF($U$9="",0,IF($X$13=2,0,IF($E$10&gt;=$Z$13,0,IF($W24&lt;$Y$13,0,VLOOKUP($T24,'3-1.標準報酬月額・保険料表'!$D$8:$J$57,6,FALSE)+ROUNDDOWN($V24*$AA$7,0)))))))</f>
        <v>8232</v>
      </c>
      <c r="Z24" s="25">
        <f>IF($E$4="",0,IF($I24&lt;20,0,IF($X$13="",0,IF($X$13=2,0,IF($E$10&lt;$Z$13,0,IF($W24&lt;$Y$13,0,VLOOKUP($T24,'3-1.標準報酬月額・保険料表'!$D$8:$J$57,7,FALSE)+ROUNDDOWN($V24*$AB$7,0)))))))</f>
        <v>0</v>
      </c>
      <c r="AA24" s="41">
        <f t="shared" si="21"/>
        <v>22872</v>
      </c>
      <c r="AB24" s="46">
        <f>IF($E$4="",0,IF($AB$13="",0,IF($AB$13=1,0,IF($I24&lt;$AD$13,0,IF($N24&lt;$AC$13,0,IF($T24&lt;=620000,VLOOKUP($T24,'3-1.標準報酬月額・保険料表'!$D$8:$L$42,9,FALSE),'3-1.標準報酬月額・保険料表'!$L$42)+ROUNDDOWN($V24*$AD$7,0))))))</f>
        <v>0</v>
      </c>
      <c r="AC24" s="47">
        <f>IF($E$4="",0,IF($AB$13="",0,IF($AB$13=1,0,IF($I24&lt;$AD$13,0,IF($N24&lt;$AC$13,0,IF($E$10&gt;=$AE$13,0,VLOOKUP($T24,'3-1.標準報酬月額・保険料表'!$D$8:$J$57,6,FALSE)+ROUNDDOWN($V24*$AA$7,0)))))))</f>
        <v>0</v>
      </c>
      <c r="AD24" s="47">
        <f>IF($E$4="",0,IF($AB$13="",0,IF($AB$13=1,0,IF($I24&lt;$AD$13,0,IF($N24&lt;$AC$13,0,IF($E$10&lt;$AE$13,0,VLOOKUP($T24,'3-1.標準報酬月額・保険料表'!$D$8:$J$57,7,FALSE)+ROUNDDOWN($V24*$AB$7,0)))))))</f>
        <v>0</v>
      </c>
      <c r="AE24" s="48">
        <f t="shared" si="22"/>
        <v>0</v>
      </c>
      <c r="AF24" s="38">
        <f t="shared" si="7"/>
        <v>11307.771428571428</v>
      </c>
      <c r="AG24" s="43">
        <f t="shared" si="23"/>
        <v>285771.77142857143</v>
      </c>
      <c r="AH24" s="127">
        <f>IF($E$4="","",VLOOKUP($N24,'3-2.所得算出参照表'!K$5:L$10,2,TRUE))</f>
        <v>3600000</v>
      </c>
      <c r="AI24" s="128">
        <f>IF($AH24="",0,IF($AH24='3-2.所得算出参照表'!$B$5,'3-2.所得算出参照表'!$E$5,IF('4-1.手当等支給メニュー'!$AH24='3-2.所得算出参照表'!$B$6,'4-1.手当等支給メニュー'!$N24*'3-2.所得算出参照表'!$E$6+'3-2.所得算出参照表'!$G$6,IF('4-1.手当等支給メニュー'!$AH24='3-2.所得算出参照表'!$B$7,'4-1.手当等支給メニュー'!$N24*'3-2.所得算出参照表'!$E$7+'3-2.所得算出参照表'!$G$7,IF('4-1.手当等支給メニュー'!$AH24='3-2.所得算出参照表'!$B$8,'4-1.手当等支給メニュー'!$N24*'3-2.所得算出参照表'!$E$8+'3-2.所得算出参照表'!$G$8,IF('4-1.手当等支給メニュー'!$AH24='3-2.所得算出参照表'!$B$9,'4-1.手当等支給メニュー'!$N24*'3-2.所得算出参照表'!$E$9+'3-2.所得算出参照表'!$G$9,IF($AH24='3-2.所得算出参照表'!$B$10,'3-2.所得算出参照表'!$G$10)))))))</f>
        <v>645388.57142857136</v>
      </c>
      <c r="AJ24" s="90">
        <f t="shared" si="8"/>
        <v>480000</v>
      </c>
      <c r="AK24" s="85">
        <f t="shared" si="9"/>
        <v>473000</v>
      </c>
      <c r="AL24" s="130">
        <f>VLOOKUP($AK24,'3-2.所得算出参照表'!$N$4:$O$11,2,TRUE)</f>
        <v>0.05</v>
      </c>
      <c r="AM24" s="85">
        <f>VLOOKUP($AK24,'3-2.所得算出参照表'!$P$4:$Q$11,2,TRUE)</f>
        <v>0</v>
      </c>
      <c r="AN24" s="85">
        <f t="shared" si="24"/>
        <v>23650</v>
      </c>
      <c r="AO24" s="85">
        <f>$AN24*'3-2.所得算出参照表'!$D$14</f>
        <v>496.65000000000003</v>
      </c>
      <c r="AP24" s="99">
        <f t="shared" si="25"/>
        <v>24100</v>
      </c>
      <c r="AQ24" s="107">
        <f>IF($AH24="",0,IF($AH24='3-2.所得算出参照表'!$B$5,'3-2.所得算出参照表'!$E$5,IF('4-1.手当等支給メニュー'!$AH24='3-2.所得算出参照表'!$B$6,'4-1.手当等支給メニュー'!$N24*'3-2.所得算出参照表'!$E$6+'3-2.所得算出参照表'!$G$6,IF('4-1.手当等支給メニュー'!$AH24='3-2.所得算出参照表'!$B$7,'4-1.手当等支給メニュー'!$N24*'3-2.所得算出参照表'!$E$7+'3-2.所得算出参照表'!$G$7,IF('4-1.手当等支給メニュー'!$AH24='3-2.所得算出参照表'!$B$8,'4-1.手当等支給メニュー'!$N24*'3-2.所得算出参照表'!$E$8+'3-2.所得算出参照表'!$G$8,IF('4-1.手当等支給メニュー'!$AH24='3-2.所得算出参照表'!$B$9,'4-1.手当等支給メニュー'!$N24*'3-2.所得算出参照表'!$E$9+'3-2.所得算出参照表'!$G$9,IF($AH24='3-2.所得算出参照表'!$B$10,'3-2.所得算出参照表'!$G$10)))))))</f>
        <v>645388.57142857136</v>
      </c>
      <c r="AR24" s="47">
        <f t="shared" si="10"/>
        <v>430000</v>
      </c>
      <c r="AS24" s="95">
        <f t="shared" si="11"/>
        <v>523000</v>
      </c>
      <c r="AT24" s="95">
        <f t="shared" si="12"/>
        <v>5500</v>
      </c>
      <c r="AU24" s="96">
        <f t="shared" si="13"/>
        <v>0.1</v>
      </c>
      <c r="AV24" s="103">
        <f t="shared" si="26"/>
        <v>55300</v>
      </c>
      <c r="AW24" s="120">
        <f t="shared" si="14"/>
        <v>1519456.7999999998</v>
      </c>
    </row>
    <row r="25" spans="2:49" ht="21.95" customHeight="1" x14ac:dyDescent="0.15">
      <c r="B25" s="76">
        <v>11</v>
      </c>
      <c r="C25" s="78">
        <f t="shared" si="0"/>
        <v>1040</v>
      </c>
      <c r="D25" s="438">
        <f t="shared" si="1"/>
        <v>88</v>
      </c>
      <c r="E25" s="452">
        <f>IF($E$4="","",IF(AND($I25&gt;=20,$D25=88,'4-1.参照シートー２'!$R25&lt;=104000),($P25+$V25)*$G$12,0))</f>
        <v>0</v>
      </c>
      <c r="F25" s="495">
        <f>IF('4-1.参照シートー２'!$G25="","",'4-1.参照シートー２'!$G25)</f>
        <v>24000</v>
      </c>
      <c r="G25" s="453">
        <f>IF($E$4="","",IF(AND($I25&gt;=20,$D25=88,$R25&gt;104000),('4-1.参照シートー２'!$R25+$V25)*$G$12,0))</f>
        <v>24000</v>
      </c>
      <c r="H25" s="431">
        <f t="shared" si="27"/>
        <v>10</v>
      </c>
      <c r="I25" s="60">
        <f t="shared" si="28"/>
        <v>30</v>
      </c>
      <c r="J25" s="174">
        <f t="shared" si="2"/>
        <v>1564.2857142857142</v>
      </c>
      <c r="K25" s="361">
        <f t="shared" si="15"/>
        <v>135571.42857142855</v>
      </c>
      <c r="L25" s="174">
        <f t="shared" si="16"/>
        <v>159571.42857142855</v>
      </c>
      <c r="M25" s="442">
        <f t="shared" si="17"/>
        <v>161571.42857142855</v>
      </c>
      <c r="N25" s="73">
        <f t="shared" si="18"/>
        <v>1938857.1428571427</v>
      </c>
      <c r="O25" s="509">
        <f t="shared" si="19"/>
        <v>139571.42857142855</v>
      </c>
      <c r="P25" s="506">
        <f>IF($E$4="",0,IF($O25=0,0,VLOOKUP($O25,'3-1.標準報酬月額・保険料表'!$N$8:$O$57,2,TRUE)))</f>
        <v>142000</v>
      </c>
      <c r="Q25" s="507">
        <f t="shared" si="3"/>
        <v>163571.42857142855</v>
      </c>
      <c r="R25" s="510">
        <f>IF($E$4="",0,IF($Q25=0,0,VLOOKUP($Q25,'3-1.標準報酬月額・保険料表'!$N$8:$O$57,2,TRUE)))</f>
        <v>160000</v>
      </c>
      <c r="S25" s="359">
        <f t="shared" si="20"/>
        <v>163571.42857142855</v>
      </c>
      <c r="T25" s="458">
        <f>IF($E$4="",0,IF($S25=0,0,VLOOKUP($S25,'3-1.標準報酬月額・保険料表'!$N$8:$O$57,2,TRUE)))</f>
        <v>160000</v>
      </c>
      <c r="U25" s="457">
        <f t="shared" si="4"/>
        <v>0</v>
      </c>
      <c r="V25" s="445">
        <f t="shared" si="5"/>
        <v>0</v>
      </c>
      <c r="W25" s="163">
        <f t="shared" si="6"/>
        <v>135571.42857142855</v>
      </c>
      <c r="X25" s="36">
        <f>IF($E$4="",0,IF($I25&lt;20,0,IF($X$13="",0,IF($X$13=2,0,IF($W25&lt;$Y$13,0,IF($T25&lt;=620000,VLOOKUP($T25,'3-1.標準報酬月額・保険料表'!$D$8:$L$42,9,FALSE),'3-1.標準報酬月額・保険料表'!$L$42)+ROUNDDOWN($V25*$AD$7,0))))))</f>
        <v>14640</v>
      </c>
      <c r="Y25" s="25">
        <f>IF($E$4="",0,IF($I25&lt;20,0,IF($U$9="",0,IF($X$13=2,0,IF($E$10&gt;=$Z$13,0,IF($W25&lt;$Y$13,0,VLOOKUP($T25,'3-1.標準報酬月額・保険料表'!$D$8:$J$57,6,FALSE)+ROUNDDOWN($V25*$AA$7,0)))))))</f>
        <v>8232</v>
      </c>
      <c r="Z25" s="25">
        <f>IF($E$4="",0,IF($I25&lt;20,0,IF($X$13="",0,IF($X$13=2,0,IF($E$10&lt;$Z$13,0,IF($W25&lt;$Y$13,0,VLOOKUP($T25,'3-1.標準報酬月額・保険料表'!$D$8:$J$57,7,FALSE)+ROUNDDOWN($V25*$AB$7,0)))))))</f>
        <v>0</v>
      </c>
      <c r="AA25" s="41">
        <f t="shared" si="21"/>
        <v>22872</v>
      </c>
      <c r="AB25" s="46">
        <f>IF($E$4="",0,IF($AB$13="",0,IF($AB$13=1,0,IF($I25&lt;$AD$13,0,IF($N25&lt;$AC$13,0,IF($T25&lt;=620000,VLOOKUP($T25,'3-1.標準報酬月額・保険料表'!$D$8:$L$42,9,FALSE),'3-1.標準報酬月額・保険料表'!$L$42)+ROUNDDOWN($V25*$AD$7,0))))))</f>
        <v>0</v>
      </c>
      <c r="AC25" s="47">
        <f>IF($E$4="",0,IF($AB$13="",0,IF($AB$13=1,0,IF($I25&lt;$AD$13,0,IF($N25&lt;$AC$13,0,IF($E$10&gt;=$AE$13,0,VLOOKUP($T25,'3-1.標準報酬月額・保険料表'!$D$8:$J$57,6,FALSE)+ROUNDDOWN($V25*$AA$7,0)))))))</f>
        <v>0</v>
      </c>
      <c r="AD25" s="47">
        <f>IF($E$4="",0,IF($AB$13="",0,IF($AB$13=1,0,IF($I25&lt;$AD$13,0,IF($N25&lt;$AC$13,0,IF($E$10&lt;$AE$13,0,VLOOKUP($T25,'3-1.標準報酬月額・保険料表'!$D$8:$J$57,7,FALSE)+ROUNDDOWN($V25*$AB$7,0)))))))</f>
        <v>0</v>
      </c>
      <c r="AE25" s="48">
        <f t="shared" si="22"/>
        <v>0</v>
      </c>
      <c r="AF25" s="38">
        <f t="shared" si="7"/>
        <v>11633.142857142857</v>
      </c>
      <c r="AG25" s="43">
        <f t="shared" si="23"/>
        <v>286097.14285714284</v>
      </c>
      <c r="AH25" s="127">
        <f>IF($E$4="","",VLOOKUP($N25,'3-2.所得算出参照表'!K$5:L$10,2,TRUE))</f>
        <v>3600000</v>
      </c>
      <c r="AI25" s="128">
        <f>IF($AH25="",0,IF($AH25='3-2.所得算出参照表'!$B$5,'3-2.所得算出参照表'!$E$5,IF('4-1.手当等支給メニュー'!$AH25='3-2.所得算出参照表'!$B$6,'4-1.手当等支給メニュー'!$N25*'3-2.所得算出参照表'!$E$6+'3-2.所得算出参照表'!$G$6,IF('4-1.手当等支給メニュー'!$AH25='3-2.所得算出参照表'!$B$7,'4-1.手当等支給メニュー'!$N25*'3-2.所得算出参照表'!$E$7+'3-2.所得算出参照表'!$G$7,IF('4-1.手当等支給メニュー'!$AH25='3-2.所得算出参照表'!$B$8,'4-1.手当等支給メニュー'!$N25*'3-2.所得算出参照表'!$E$8+'3-2.所得算出参照表'!$G$8,IF('4-1.手当等支給メニュー'!$AH25='3-2.所得算出参照表'!$B$9,'4-1.手当等支給メニュー'!$N25*'3-2.所得算出参照表'!$E$9+'3-2.所得算出参照表'!$G$9,IF($AH25='3-2.所得算出参照表'!$B$10,'3-2.所得算出参照表'!$G$10)))))))</f>
        <v>661657.14285714284</v>
      </c>
      <c r="AJ25" s="90">
        <f t="shared" si="8"/>
        <v>480000</v>
      </c>
      <c r="AK25" s="85">
        <f t="shared" si="9"/>
        <v>511000</v>
      </c>
      <c r="AL25" s="130">
        <f>VLOOKUP($AK25,'3-2.所得算出参照表'!$N$4:$O$11,2,TRUE)</f>
        <v>0.05</v>
      </c>
      <c r="AM25" s="85">
        <f>VLOOKUP($AK25,'3-2.所得算出参照表'!$P$4:$Q$11,2,TRUE)</f>
        <v>0</v>
      </c>
      <c r="AN25" s="85">
        <f t="shared" si="24"/>
        <v>25550</v>
      </c>
      <c r="AO25" s="85">
        <f>$AN25*'3-2.所得算出参照表'!$D$14</f>
        <v>536.55000000000007</v>
      </c>
      <c r="AP25" s="99">
        <f t="shared" si="25"/>
        <v>26000</v>
      </c>
      <c r="AQ25" s="107">
        <f>IF($AH25="",0,IF($AH25='3-2.所得算出参照表'!$B$5,'3-2.所得算出参照表'!$E$5,IF('4-1.手当等支給メニュー'!$AH25='3-2.所得算出参照表'!$B$6,'4-1.手当等支給メニュー'!$N25*'3-2.所得算出参照表'!$E$6+'3-2.所得算出参照表'!$G$6,IF('4-1.手当等支給メニュー'!$AH25='3-2.所得算出参照表'!$B$7,'4-1.手当等支給メニュー'!$N25*'3-2.所得算出参照表'!$E$7+'3-2.所得算出参照表'!$G$7,IF('4-1.手当等支給メニュー'!$AH25='3-2.所得算出参照表'!$B$8,'4-1.手当等支給メニュー'!$N25*'3-2.所得算出参照表'!$E$8+'3-2.所得算出参照表'!$G$8,IF('4-1.手当等支給メニュー'!$AH25='3-2.所得算出参照表'!$B$9,'4-1.手当等支給メニュー'!$N25*'3-2.所得算出参照表'!$E$9+'3-2.所得算出参照表'!$G$9,IF($AH25='3-2.所得算出参照表'!$B$10,'3-2.所得算出参照表'!$G$10)))))))</f>
        <v>661657.14285714284</v>
      </c>
      <c r="AR25" s="47">
        <f t="shared" si="10"/>
        <v>430000</v>
      </c>
      <c r="AS25" s="95">
        <f t="shared" si="11"/>
        <v>561000</v>
      </c>
      <c r="AT25" s="95">
        <f t="shared" si="12"/>
        <v>5500</v>
      </c>
      <c r="AU25" s="96">
        <f t="shared" si="13"/>
        <v>0.1</v>
      </c>
      <c r="AV25" s="103">
        <f t="shared" si="26"/>
        <v>59100</v>
      </c>
      <c r="AW25" s="120">
        <f t="shared" si="14"/>
        <v>1567660</v>
      </c>
    </row>
    <row r="26" spans="2:49" ht="21.95" customHeight="1" x14ac:dyDescent="0.15">
      <c r="B26" s="76">
        <v>12</v>
      </c>
      <c r="C26" s="78">
        <f t="shared" si="0"/>
        <v>1040</v>
      </c>
      <c r="D26" s="438">
        <f t="shared" si="1"/>
        <v>88</v>
      </c>
      <c r="E26" s="452">
        <f>IF($E$4="","",IF(AND($I26&gt;=20,$D26=88,'4-1.参照シートー２'!$R26&lt;=104000),($P26+$V26)*$G$12,0))</f>
        <v>0</v>
      </c>
      <c r="F26" s="495">
        <f>IF('4-1.参照シートー２'!$G26="","",'4-1.参照シートー２'!$G26)</f>
        <v>25500</v>
      </c>
      <c r="G26" s="453">
        <f>IF($E$4="","",IF(AND($I26&gt;=20,$D26=88,$R26&gt;104000),('4-1.参照シートー２'!$R26+$V26)*$G$12,0))</f>
        <v>25500</v>
      </c>
      <c r="H26" s="431">
        <f t="shared" si="27"/>
        <v>11</v>
      </c>
      <c r="I26" s="60">
        <f t="shared" si="28"/>
        <v>31</v>
      </c>
      <c r="J26" s="174">
        <f t="shared" si="2"/>
        <v>1616.4285714285713</v>
      </c>
      <c r="K26" s="361">
        <f t="shared" si="15"/>
        <v>140090.47619047618</v>
      </c>
      <c r="L26" s="174">
        <f t="shared" si="16"/>
        <v>165590.47619047618</v>
      </c>
      <c r="M26" s="442">
        <f t="shared" si="17"/>
        <v>167590.47619047618</v>
      </c>
      <c r="N26" s="73">
        <f t="shared" si="18"/>
        <v>2011085.7142857141</v>
      </c>
      <c r="O26" s="509">
        <f t="shared" si="19"/>
        <v>144090.47619047618</v>
      </c>
      <c r="P26" s="506">
        <f>IF($E$4="",0,IF($O26=0,0,VLOOKUP($O26,'3-1.標準報酬月額・保険料表'!$N$8:$O$57,2,TRUE)))</f>
        <v>142000</v>
      </c>
      <c r="Q26" s="507">
        <f t="shared" si="3"/>
        <v>169590.47619047618</v>
      </c>
      <c r="R26" s="510">
        <f>IF($E$4="",0,IF($Q26=0,0,VLOOKUP($Q26,'3-1.標準報酬月額・保険料表'!$N$8:$O$57,2,TRUE)))</f>
        <v>170000</v>
      </c>
      <c r="S26" s="359">
        <f t="shared" si="20"/>
        <v>169590.47619047618</v>
      </c>
      <c r="T26" s="458">
        <f>IF($E$4="",0,IF($S26=0,0,VLOOKUP($S26,'3-1.標準報酬月額・保険料表'!$N$8:$O$57,2,TRUE)))</f>
        <v>170000</v>
      </c>
      <c r="U26" s="457">
        <f t="shared" si="4"/>
        <v>0</v>
      </c>
      <c r="V26" s="445">
        <f t="shared" si="5"/>
        <v>0</v>
      </c>
      <c r="W26" s="163">
        <f t="shared" si="6"/>
        <v>140090.47619047618</v>
      </c>
      <c r="X26" s="36">
        <f>IF($E$4="",0,IF($I26&lt;20,0,IF($X$13="",0,IF($X$13=2,0,IF($W26&lt;$Y$13,0,IF($T26&lt;=620000,VLOOKUP($T26,'3-1.標準報酬月額・保険料表'!$D$8:$L$42,9,FALSE),'3-1.標準報酬月額・保険料表'!$L$42)+ROUNDDOWN($V26*$AD$7,0))))))</f>
        <v>15555</v>
      </c>
      <c r="Y26" s="25">
        <f>IF($E$4="",0,IF($I26&lt;20,0,IF($U$9="",0,IF($X$13=2,0,IF($E$10&gt;=$Z$13,0,IF($W26&lt;$Y$13,0,VLOOKUP($T26,'3-1.標準報酬月額・保険料表'!$D$8:$J$57,6,FALSE)+ROUNDDOWN($V26*$AA$7,0)))))))</f>
        <v>8746.5</v>
      </c>
      <c r="Z26" s="25">
        <f>IF($E$4="",0,IF($I26&lt;20,0,IF($X$13="",0,IF($X$13=2,0,IF($E$10&lt;$Z$13,0,IF($W26&lt;$Y$13,0,VLOOKUP($T26,'3-1.標準報酬月額・保険料表'!$D$8:$J$57,7,FALSE)+ROUNDDOWN($V26*$AB$7,0)))))))</f>
        <v>0</v>
      </c>
      <c r="AA26" s="41">
        <f t="shared" si="21"/>
        <v>24301.5</v>
      </c>
      <c r="AB26" s="46">
        <f>IF($E$4="",0,IF($AB$13="",0,IF($AB$13=1,0,IF($I26&lt;$AD$13,0,IF($N26&lt;$AC$13,0,IF($T26&lt;=620000,VLOOKUP($T26,'3-1.標準報酬月額・保険料表'!$D$8:$L$42,9,FALSE),'3-1.標準報酬月額・保険料表'!$L$42)+ROUNDDOWN($V26*$AD$7,0))))))</f>
        <v>0</v>
      </c>
      <c r="AC26" s="47">
        <f>IF($E$4="",0,IF($AB$13="",0,IF($AB$13=1,0,IF($I26&lt;$AD$13,0,IF($N26&lt;$AC$13,0,IF($E$10&gt;=$AE$13,0,VLOOKUP($T26,'3-1.標準報酬月額・保険料表'!$D$8:$J$57,6,FALSE)+ROUNDDOWN($V26*$AA$7,0)))))))</f>
        <v>0</v>
      </c>
      <c r="AD26" s="47">
        <f>IF($E$4="",0,IF($AB$13="",0,IF($AB$13=1,0,IF($I26&lt;$AD$13,0,IF($N26&lt;$AC$13,0,IF($E$10&lt;$AE$13,0,VLOOKUP($T26,'3-1.標準報酬月額・保険料表'!$D$8:$J$57,7,FALSE)+ROUNDDOWN($V26*$AB$7,0)))))))</f>
        <v>0</v>
      </c>
      <c r="AE26" s="48">
        <f t="shared" si="22"/>
        <v>0</v>
      </c>
      <c r="AF26" s="38">
        <f t="shared" si="7"/>
        <v>12066.514285714286</v>
      </c>
      <c r="AG26" s="43">
        <f t="shared" si="23"/>
        <v>303684.51428571431</v>
      </c>
      <c r="AH26" s="127">
        <f>IF($E$4="","",VLOOKUP($N26,'3-2.所得算出参照表'!K$5:L$10,2,TRUE))</f>
        <v>3600000</v>
      </c>
      <c r="AI26" s="128">
        <f>IF($AH26="",0,IF($AH26='3-2.所得算出参照表'!$B$5,'3-2.所得算出参照表'!$E$5,IF('4-1.手当等支給メニュー'!$AH26='3-2.所得算出参照表'!$B$6,'4-1.手当等支給メニュー'!$N26*'3-2.所得算出参照表'!$E$6+'3-2.所得算出参照表'!$G$6,IF('4-1.手当等支給メニュー'!$AH26='3-2.所得算出参照表'!$B$7,'4-1.手当等支給メニュー'!$N26*'3-2.所得算出参照表'!$E$7+'3-2.所得算出参照表'!$G$7,IF('4-1.手当等支給メニュー'!$AH26='3-2.所得算出参照表'!$B$8,'4-1.手当等支給メニュー'!$N26*'3-2.所得算出参照表'!$E$8+'3-2.所得算出参照表'!$G$8,IF('4-1.手当等支給メニュー'!$AH26='3-2.所得算出参照表'!$B$9,'4-1.手当等支給メニュー'!$N26*'3-2.所得算出参照表'!$E$9+'3-2.所得算出参照表'!$G$9,IF($AH26='3-2.所得算出参照表'!$B$10,'3-2.所得算出参照表'!$G$10)))))))</f>
        <v>683325.7142857142</v>
      </c>
      <c r="AJ26" s="90">
        <f t="shared" si="8"/>
        <v>480000</v>
      </c>
      <c r="AK26" s="85">
        <f t="shared" si="9"/>
        <v>544000</v>
      </c>
      <c r="AL26" s="130">
        <f>VLOOKUP($AK26,'3-2.所得算出参照表'!$N$4:$O$11,2,TRUE)</f>
        <v>0.05</v>
      </c>
      <c r="AM26" s="85">
        <f>VLOOKUP($AK26,'3-2.所得算出参照表'!$P$4:$Q$11,2,TRUE)</f>
        <v>0</v>
      </c>
      <c r="AN26" s="85">
        <f t="shared" si="24"/>
        <v>27200</v>
      </c>
      <c r="AO26" s="85">
        <f>$AN26*'3-2.所得算出参照表'!$D$14</f>
        <v>571.20000000000005</v>
      </c>
      <c r="AP26" s="99">
        <f t="shared" si="25"/>
        <v>27700</v>
      </c>
      <c r="AQ26" s="107">
        <f>IF($AH26="",0,IF($AH26='3-2.所得算出参照表'!$B$5,'3-2.所得算出参照表'!$E$5,IF('4-1.手当等支給メニュー'!$AH26='3-2.所得算出参照表'!$B$6,'4-1.手当等支給メニュー'!$N26*'3-2.所得算出参照表'!$E$6+'3-2.所得算出参照表'!$G$6,IF('4-1.手当等支給メニュー'!$AH26='3-2.所得算出参照表'!$B$7,'4-1.手当等支給メニュー'!$N26*'3-2.所得算出参照表'!$E$7+'3-2.所得算出参照表'!$G$7,IF('4-1.手当等支給メニュー'!$AH26='3-2.所得算出参照表'!$B$8,'4-1.手当等支給メニュー'!$N26*'3-2.所得算出参照表'!$E$8+'3-2.所得算出参照表'!$G$8,IF('4-1.手当等支給メニュー'!$AH26='3-2.所得算出参照表'!$B$9,'4-1.手当等支給メニュー'!$N26*'3-2.所得算出参照表'!$E$9+'3-2.所得算出参照表'!$G$9,IF($AH26='3-2.所得算出参照表'!$B$10,'3-2.所得算出参照表'!$G$10)))))))</f>
        <v>683325.7142857142</v>
      </c>
      <c r="AR26" s="47">
        <f t="shared" si="10"/>
        <v>430000</v>
      </c>
      <c r="AS26" s="95">
        <f t="shared" si="11"/>
        <v>594000</v>
      </c>
      <c r="AT26" s="95">
        <f t="shared" si="12"/>
        <v>5500</v>
      </c>
      <c r="AU26" s="96">
        <f t="shared" si="13"/>
        <v>0.1</v>
      </c>
      <c r="AV26" s="103">
        <f t="shared" si="26"/>
        <v>62400</v>
      </c>
      <c r="AW26" s="120">
        <f t="shared" si="14"/>
        <v>1617301.1999999997</v>
      </c>
    </row>
    <row r="27" spans="2:49" ht="21.95" customHeight="1" x14ac:dyDescent="0.15">
      <c r="B27" s="76">
        <v>13</v>
      </c>
      <c r="C27" s="78">
        <f t="shared" si="0"/>
        <v>1040</v>
      </c>
      <c r="D27" s="438">
        <f t="shared" si="1"/>
        <v>88</v>
      </c>
      <c r="E27" s="452">
        <f>IF($E$4="","",IF(AND($I27&gt;=20,$D27=88,'4-1.参照シートー２'!$R27&lt;=104000),($P27+$V27)*$G$12,0))</f>
        <v>0</v>
      </c>
      <c r="F27" s="495">
        <f>IF('4-1.参照シートー２'!$G27="","",'4-1.参照シートー２'!$G27)</f>
        <v>25500</v>
      </c>
      <c r="G27" s="453">
        <f>IF($E$4="","",IF(AND($I27&gt;=20,$D27=88,$R27&gt;104000),('4-1.参照シートー２'!$R27+$V27)*$G$12,0))</f>
        <v>25500</v>
      </c>
      <c r="H27" s="431">
        <f t="shared" si="27"/>
        <v>12</v>
      </c>
      <c r="I27" s="60">
        <f t="shared" si="28"/>
        <v>32</v>
      </c>
      <c r="J27" s="174">
        <f t="shared" si="2"/>
        <v>1668.5714285714287</v>
      </c>
      <c r="K27" s="361">
        <f t="shared" si="15"/>
        <v>144609.52380952382</v>
      </c>
      <c r="L27" s="174">
        <f t="shared" si="16"/>
        <v>170109.52380952382</v>
      </c>
      <c r="M27" s="442">
        <f t="shared" si="17"/>
        <v>172109.52380952382</v>
      </c>
      <c r="N27" s="73">
        <f t="shared" si="18"/>
        <v>2065314.2857142859</v>
      </c>
      <c r="O27" s="509">
        <f t="shared" si="19"/>
        <v>148609.52380952382</v>
      </c>
      <c r="P27" s="506">
        <f>IF($E$4="",0,IF($O27=0,0,VLOOKUP($O27,'3-1.標準報酬月額・保険料表'!$N$8:$O$57,2,TRUE)))</f>
        <v>150000</v>
      </c>
      <c r="Q27" s="507">
        <f t="shared" si="3"/>
        <v>174109.52380952382</v>
      </c>
      <c r="R27" s="510">
        <f>IF($E$4="",0,IF($Q27=0,0,VLOOKUP($Q27,'3-1.標準報酬月額・保険料表'!$N$8:$O$57,2,TRUE)))</f>
        <v>170000</v>
      </c>
      <c r="S27" s="359">
        <f t="shared" si="20"/>
        <v>174109.52380952382</v>
      </c>
      <c r="T27" s="458">
        <f>IF($E$4="",0,IF($S27=0,0,VLOOKUP($S27,'3-1.標準報酬月額・保険料表'!$N$8:$O$57,2,TRUE)))</f>
        <v>170000</v>
      </c>
      <c r="U27" s="457">
        <f t="shared" si="4"/>
        <v>0</v>
      </c>
      <c r="V27" s="445">
        <f t="shared" si="5"/>
        <v>0</v>
      </c>
      <c r="W27" s="163">
        <f t="shared" si="6"/>
        <v>144609.52380952382</v>
      </c>
      <c r="X27" s="36">
        <f>IF($E$4="",0,IF($I27&lt;20,0,IF($X$13="",0,IF($X$13=2,0,IF($W27&lt;$Y$13,0,IF($T27&lt;=620000,VLOOKUP($T27,'3-1.標準報酬月額・保険料表'!$D$8:$L$42,9,FALSE),'3-1.標準報酬月額・保険料表'!$L$42)+ROUNDDOWN($V27*$AD$7,0))))))</f>
        <v>15555</v>
      </c>
      <c r="Y27" s="25">
        <f>IF($E$4="",0,IF($I27&lt;20,0,IF($U$9="",0,IF($X$13=2,0,IF($E$10&gt;=$Z$13,0,IF($W27&lt;$Y$13,0,VLOOKUP($T27,'3-1.標準報酬月額・保険料表'!$D$8:$J$57,6,FALSE)+ROUNDDOWN($V27*$AA$7,0)))))))</f>
        <v>8746.5</v>
      </c>
      <c r="Z27" s="25">
        <f>IF($E$4="",0,IF($I27&lt;20,0,IF($X$13="",0,IF($X$13=2,0,IF($E$10&lt;$Z$13,0,IF($W27&lt;$Y$13,0,VLOOKUP($T27,'3-1.標準報酬月額・保険料表'!$D$8:$J$57,7,FALSE)+ROUNDDOWN($V27*$AB$7,0)))))))</f>
        <v>0</v>
      </c>
      <c r="AA27" s="41">
        <f t="shared" si="21"/>
        <v>24301.5</v>
      </c>
      <c r="AB27" s="46">
        <f>IF($E$4="",0,IF($AB$13="",0,IF($AB$13=1,0,IF($I27&lt;$AD$13,0,IF($N27&lt;$AC$13,0,IF($T27&lt;=620000,VLOOKUP($T27,'3-1.標準報酬月額・保険料表'!$D$8:$L$42,9,FALSE),'3-1.標準報酬月額・保険料表'!$L$42)+ROUNDDOWN($V27*$AD$7,0))))))</f>
        <v>0</v>
      </c>
      <c r="AC27" s="47">
        <f>IF($E$4="",0,IF($AB$13="",0,IF($AB$13=1,0,IF($I27&lt;$AD$13,0,IF($N27&lt;$AC$13,0,IF($E$10&gt;=$AE$13,0,VLOOKUP($T27,'3-1.標準報酬月額・保険料表'!$D$8:$J$57,6,FALSE)+ROUNDDOWN($V27*$AA$7,0)))))))</f>
        <v>0</v>
      </c>
      <c r="AD27" s="47">
        <f>IF($E$4="",0,IF($AB$13="",0,IF($AB$13=1,0,IF($I27&lt;$AD$13,0,IF($N27&lt;$AC$13,0,IF($E$10&lt;$AE$13,0,VLOOKUP($T27,'3-1.標準報酬月額・保険料表'!$D$8:$J$57,7,FALSE)+ROUNDDOWN($V27*$AB$7,0)))))))</f>
        <v>0</v>
      </c>
      <c r="AE27" s="48">
        <f t="shared" si="22"/>
        <v>0</v>
      </c>
      <c r="AF27" s="38">
        <f t="shared" si="7"/>
        <v>12391.885714285716</v>
      </c>
      <c r="AG27" s="43">
        <f t="shared" si="23"/>
        <v>304009.88571428572</v>
      </c>
      <c r="AH27" s="127">
        <f>IF($E$4="","",VLOOKUP($N27,'3-2.所得算出参照表'!K$5:L$10,2,TRUE))</f>
        <v>3600000</v>
      </c>
      <c r="AI27" s="128">
        <f>IF($AH27="",0,IF($AH27='3-2.所得算出参照表'!$B$5,'3-2.所得算出参照表'!$E$5,IF('4-1.手当等支給メニュー'!$AH27='3-2.所得算出参照表'!$B$6,'4-1.手当等支給メニュー'!$N27*'3-2.所得算出参照表'!$E$6+'3-2.所得算出参照表'!$G$6,IF('4-1.手当等支給メニュー'!$AH27='3-2.所得算出参照表'!$B$7,'4-1.手当等支給メニュー'!$N27*'3-2.所得算出参照表'!$E$7+'3-2.所得算出参照表'!$G$7,IF('4-1.手当等支給メニュー'!$AH27='3-2.所得算出参照表'!$B$8,'4-1.手当等支給メニュー'!$N27*'3-2.所得算出参照表'!$E$8+'3-2.所得算出参照表'!$G$8,IF('4-1.手当等支給メニュー'!$AH27='3-2.所得算出参照表'!$B$9,'4-1.手当等支給メニュー'!$N27*'3-2.所得算出参照表'!$E$9+'3-2.所得算出参照表'!$G$9,IF($AH27='3-2.所得算出参照表'!$B$10,'3-2.所得算出参照表'!$G$10)))))))</f>
        <v>699594.2857142858</v>
      </c>
      <c r="AJ27" s="90">
        <f t="shared" si="8"/>
        <v>480000</v>
      </c>
      <c r="AK27" s="85">
        <f t="shared" si="9"/>
        <v>581000</v>
      </c>
      <c r="AL27" s="130">
        <f>VLOOKUP($AK27,'3-2.所得算出参照表'!$N$4:$O$11,2,TRUE)</f>
        <v>0.05</v>
      </c>
      <c r="AM27" s="85">
        <f>VLOOKUP($AK27,'3-2.所得算出参照表'!$P$4:$Q$11,2,TRUE)</f>
        <v>0</v>
      </c>
      <c r="AN27" s="85">
        <f t="shared" si="24"/>
        <v>29050</v>
      </c>
      <c r="AO27" s="85">
        <f>$AN27*'3-2.所得算出参照表'!$D$14</f>
        <v>610.05000000000007</v>
      </c>
      <c r="AP27" s="99">
        <f t="shared" si="25"/>
        <v>29600</v>
      </c>
      <c r="AQ27" s="107">
        <f>IF($AH27="",0,IF($AH27='3-2.所得算出参照表'!$B$5,'3-2.所得算出参照表'!$E$5,IF('4-1.手当等支給メニュー'!$AH27='3-2.所得算出参照表'!$B$6,'4-1.手当等支給メニュー'!$N27*'3-2.所得算出参照表'!$E$6+'3-2.所得算出参照表'!$G$6,IF('4-1.手当等支給メニュー'!$AH27='3-2.所得算出参照表'!$B$7,'4-1.手当等支給メニュー'!$N27*'3-2.所得算出参照表'!$E$7+'3-2.所得算出参照表'!$G$7,IF('4-1.手当等支給メニュー'!$AH27='3-2.所得算出参照表'!$B$8,'4-1.手当等支給メニュー'!$N27*'3-2.所得算出参照表'!$E$8+'3-2.所得算出参照表'!$G$8,IF('4-1.手当等支給メニュー'!$AH27='3-2.所得算出参照表'!$B$9,'4-1.手当等支給メニュー'!$N27*'3-2.所得算出参照表'!$E$9+'3-2.所得算出参照表'!$G$9,IF($AH27='3-2.所得算出参照表'!$B$10,'3-2.所得算出参照表'!$G$10)))))))</f>
        <v>699594.2857142858</v>
      </c>
      <c r="AR27" s="47">
        <f t="shared" si="10"/>
        <v>430000</v>
      </c>
      <c r="AS27" s="95">
        <f t="shared" si="11"/>
        <v>631000</v>
      </c>
      <c r="AT27" s="95">
        <f t="shared" si="12"/>
        <v>5500</v>
      </c>
      <c r="AU27" s="96">
        <f t="shared" si="13"/>
        <v>0.1</v>
      </c>
      <c r="AV27" s="103">
        <f t="shared" si="26"/>
        <v>66100</v>
      </c>
      <c r="AW27" s="120">
        <f t="shared" si="14"/>
        <v>1665604.4000000001</v>
      </c>
    </row>
    <row r="28" spans="2:49" ht="21.95" customHeight="1" x14ac:dyDescent="0.15">
      <c r="B28" s="76">
        <v>14</v>
      </c>
      <c r="C28" s="78">
        <f t="shared" si="0"/>
        <v>1040</v>
      </c>
      <c r="D28" s="438">
        <f t="shared" si="1"/>
        <v>88</v>
      </c>
      <c r="E28" s="452">
        <f>IF($E$4="","",IF(AND($I28&gt;=20,$D28=88,'4-1.参照シートー２'!$R28&lt;=104000),($P28+$V28)*$G$12,0))</f>
        <v>0</v>
      </c>
      <c r="F28" s="495">
        <f>IF('4-1.参照シートー２'!$G28="","",'4-1.参照シートー２'!$G28)</f>
        <v>27000</v>
      </c>
      <c r="G28" s="453">
        <f>IF($E$4="","",IF(AND($I28&gt;=20,$D28=88,$R28&gt;104000),('4-1.参照シートー２'!$R28+$V28)*$G$12,0))</f>
        <v>27000</v>
      </c>
      <c r="H28" s="431">
        <f t="shared" si="27"/>
        <v>13</v>
      </c>
      <c r="I28" s="60">
        <f t="shared" si="28"/>
        <v>33</v>
      </c>
      <c r="J28" s="174">
        <f t="shared" si="2"/>
        <v>1720.7142857142858</v>
      </c>
      <c r="K28" s="361">
        <f t="shared" si="15"/>
        <v>149128.57142857145</v>
      </c>
      <c r="L28" s="174">
        <f t="shared" si="16"/>
        <v>176128.57142857145</v>
      </c>
      <c r="M28" s="442">
        <f t="shared" si="17"/>
        <v>178128.57142857145</v>
      </c>
      <c r="N28" s="73">
        <f t="shared" si="18"/>
        <v>2137542.8571428573</v>
      </c>
      <c r="O28" s="509">
        <f t="shared" si="19"/>
        <v>153128.57142857145</v>
      </c>
      <c r="P28" s="506">
        <f>IF($E$4="",0,IF($O28=0,0,VLOOKUP($O28,'3-1.標準報酬月額・保険料表'!$N$8:$O$57,2,TRUE)))</f>
        <v>150000</v>
      </c>
      <c r="Q28" s="507">
        <f t="shared" si="3"/>
        <v>180128.57142857145</v>
      </c>
      <c r="R28" s="510">
        <f>IF($E$4="",0,IF($Q28=0,0,VLOOKUP($Q28,'3-1.標準報酬月額・保険料表'!$N$8:$O$57,2,TRUE)))</f>
        <v>180000</v>
      </c>
      <c r="S28" s="359">
        <f t="shared" si="20"/>
        <v>180128.57142857145</v>
      </c>
      <c r="T28" s="458">
        <f>IF($E$4="",0,IF($S28=0,0,VLOOKUP($S28,'3-1.標準報酬月額・保険料表'!$N$8:$O$57,2,TRUE)))</f>
        <v>180000</v>
      </c>
      <c r="U28" s="457">
        <f t="shared" si="4"/>
        <v>0</v>
      </c>
      <c r="V28" s="445">
        <f t="shared" si="5"/>
        <v>0</v>
      </c>
      <c r="W28" s="163">
        <f t="shared" si="6"/>
        <v>149128.57142857145</v>
      </c>
      <c r="X28" s="36">
        <f>IF($E$4="",0,IF($I28&lt;20,0,IF($X$13="",0,IF($X$13=2,0,IF($W28&lt;$Y$13,0,IF($T28&lt;=620000,VLOOKUP($T28,'3-1.標準報酬月額・保険料表'!$D$8:$L$42,9,FALSE),'3-1.標準報酬月額・保険料表'!$L$42)+ROUNDDOWN($V28*$AD$7,0))))))</f>
        <v>16470</v>
      </c>
      <c r="Y28" s="25">
        <f>IF($E$4="",0,IF($I28&lt;20,0,IF($U$9="",0,IF($X$13=2,0,IF($E$10&gt;=$Z$13,0,IF($W28&lt;$Y$13,0,VLOOKUP($T28,'3-1.標準報酬月額・保険料表'!$D$8:$J$57,6,FALSE)+ROUNDDOWN($V28*$AA$7,0)))))))</f>
        <v>9261</v>
      </c>
      <c r="Z28" s="25">
        <f>IF($E$4="",0,IF($I28&lt;20,0,IF($X$13="",0,IF($X$13=2,0,IF($E$10&lt;$Z$13,0,IF($W28&lt;$Y$13,0,VLOOKUP($T28,'3-1.標準報酬月額・保険料表'!$D$8:$J$57,7,FALSE)+ROUNDDOWN($V28*$AB$7,0)))))))</f>
        <v>0</v>
      </c>
      <c r="AA28" s="41">
        <f t="shared" si="21"/>
        <v>25731</v>
      </c>
      <c r="AB28" s="46">
        <f>IF($E$4="",0,IF($AB$13="",0,IF($AB$13=1,0,IF($I28&lt;$AD$13,0,IF($N28&lt;$AC$13,0,IF($T28&lt;=620000,VLOOKUP($T28,'3-1.標準報酬月額・保険料表'!$D$8:$L$42,9,FALSE),'3-1.標準報酬月額・保険料表'!$L$42)+ROUNDDOWN($V28*$AD$7,0))))))</f>
        <v>0</v>
      </c>
      <c r="AC28" s="47">
        <f>IF($E$4="",0,IF($AB$13="",0,IF($AB$13=1,0,IF($I28&lt;$AD$13,0,IF($N28&lt;$AC$13,0,IF($E$10&gt;=$AE$13,0,VLOOKUP($T28,'3-1.標準報酬月額・保険料表'!$D$8:$J$57,6,FALSE)+ROUNDDOWN($V28*$AA$7,0)))))))</f>
        <v>0</v>
      </c>
      <c r="AD28" s="47">
        <f>IF($E$4="",0,IF($AB$13="",0,IF($AB$13=1,0,IF($I28&lt;$AD$13,0,IF($N28&lt;$AC$13,0,IF($E$10&lt;$AE$13,0,VLOOKUP($T28,'3-1.標準報酬月額・保険料表'!$D$8:$J$57,7,FALSE)+ROUNDDOWN($V28*$AB$7,0)))))))</f>
        <v>0</v>
      </c>
      <c r="AE28" s="48">
        <f t="shared" si="22"/>
        <v>0</v>
      </c>
      <c r="AF28" s="38">
        <f t="shared" si="7"/>
        <v>12825.257142857145</v>
      </c>
      <c r="AG28" s="43">
        <f t="shared" si="23"/>
        <v>321597.25714285712</v>
      </c>
      <c r="AH28" s="127">
        <f>IF($E$4="","",VLOOKUP($N28,'3-2.所得算出参照表'!K$5:L$10,2,TRUE))</f>
        <v>3600000</v>
      </c>
      <c r="AI28" s="128">
        <f>IF($AH28="",0,IF($AH28='3-2.所得算出参照表'!$B$5,'3-2.所得算出参照表'!$E$5,IF('4-1.手当等支給メニュー'!$AH28='3-2.所得算出参照表'!$B$6,'4-1.手当等支給メニュー'!$N28*'3-2.所得算出参照表'!$E$6+'3-2.所得算出参照表'!$G$6,IF('4-1.手当等支給メニュー'!$AH28='3-2.所得算出参照表'!$B$7,'4-1.手当等支給メニュー'!$N28*'3-2.所得算出参照表'!$E$7+'3-2.所得算出参照表'!$G$7,IF('4-1.手当等支給メニュー'!$AH28='3-2.所得算出参照表'!$B$8,'4-1.手当等支給メニュー'!$N28*'3-2.所得算出参照表'!$E$8+'3-2.所得算出参照表'!$G$8,IF('4-1.手当等支給メニュー'!$AH28='3-2.所得算出参照表'!$B$9,'4-1.手当等支給メニュー'!$N28*'3-2.所得算出参照表'!$E$9+'3-2.所得算出参照表'!$G$9,IF($AH28='3-2.所得算出参照表'!$B$10,'3-2.所得算出参照表'!$G$10)))))))</f>
        <v>721262.85714285716</v>
      </c>
      <c r="AJ28" s="90">
        <f t="shared" si="8"/>
        <v>480000</v>
      </c>
      <c r="AK28" s="85">
        <f t="shared" si="9"/>
        <v>614000</v>
      </c>
      <c r="AL28" s="130">
        <f>VLOOKUP($AK28,'3-2.所得算出参照表'!$N$4:$O$11,2,TRUE)</f>
        <v>0.05</v>
      </c>
      <c r="AM28" s="85">
        <f>VLOOKUP($AK28,'3-2.所得算出参照表'!$P$4:$Q$11,2,TRUE)</f>
        <v>0</v>
      </c>
      <c r="AN28" s="85">
        <f t="shared" si="24"/>
        <v>30700</v>
      </c>
      <c r="AO28" s="85">
        <f>$AN28*'3-2.所得算出参照表'!$D$14</f>
        <v>644.70000000000005</v>
      </c>
      <c r="AP28" s="99">
        <f t="shared" si="25"/>
        <v>31300</v>
      </c>
      <c r="AQ28" s="107">
        <f>IF($AH28="",0,IF($AH28='3-2.所得算出参照表'!$B$5,'3-2.所得算出参照表'!$E$5,IF('4-1.手当等支給メニュー'!$AH28='3-2.所得算出参照表'!$B$6,'4-1.手当等支給メニュー'!$N28*'3-2.所得算出参照表'!$E$6+'3-2.所得算出参照表'!$G$6,IF('4-1.手当等支給メニュー'!$AH28='3-2.所得算出参照表'!$B$7,'4-1.手当等支給メニュー'!$N28*'3-2.所得算出参照表'!$E$7+'3-2.所得算出参照表'!$G$7,IF('4-1.手当等支給メニュー'!$AH28='3-2.所得算出参照表'!$B$8,'4-1.手当等支給メニュー'!$N28*'3-2.所得算出参照表'!$E$8+'3-2.所得算出参照表'!$G$8,IF('4-1.手当等支給メニュー'!$AH28='3-2.所得算出参照表'!$B$9,'4-1.手当等支給メニュー'!$N28*'3-2.所得算出参照表'!$E$9+'3-2.所得算出参照表'!$G$9,IF($AH28='3-2.所得算出参照表'!$B$10,'3-2.所得算出参照表'!$G$10)))))))</f>
        <v>721262.85714285716</v>
      </c>
      <c r="AR28" s="47">
        <f t="shared" si="10"/>
        <v>430000</v>
      </c>
      <c r="AS28" s="95">
        <f t="shared" si="11"/>
        <v>664000</v>
      </c>
      <c r="AT28" s="95">
        <f t="shared" si="12"/>
        <v>5500</v>
      </c>
      <c r="AU28" s="96">
        <f t="shared" si="13"/>
        <v>0.1</v>
      </c>
      <c r="AV28" s="103">
        <f t="shared" si="26"/>
        <v>69400</v>
      </c>
      <c r="AW28" s="120">
        <f t="shared" si="14"/>
        <v>1715245.6</v>
      </c>
    </row>
    <row r="29" spans="2:49" ht="21.95" customHeight="1" x14ac:dyDescent="0.15">
      <c r="B29" s="76">
        <v>15</v>
      </c>
      <c r="C29" s="78">
        <f t="shared" si="0"/>
        <v>1040</v>
      </c>
      <c r="D29" s="438">
        <f t="shared" si="1"/>
        <v>88</v>
      </c>
      <c r="E29" s="452">
        <f>IF($E$4="","",IF(AND($I29&gt;=20,$D29=88,'4-1.参照シートー２'!$R29&lt;=104000),($P29+$V29)*$G$12,0))</f>
        <v>0</v>
      </c>
      <c r="F29" s="495">
        <f>IF('4-1.参照シートー２'!$G29="","",'4-1.参照シートー２'!$G29)</f>
        <v>27000</v>
      </c>
      <c r="G29" s="453">
        <f>IF($E$4="","",IF(AND($I29&gt;=20,$D29=88,$R29&gt;104000),('4-1.参照シートー２'!$R29+$V29)*$G$12,0))</f>
        <v>27000</v>
      </c>
      <c r="H29" s="431">
        <f t="shared" si="27"/>
        <v>14</v>
      </c>
      <c r="I29" s="60">
        <f t="shared" si="28"/>
        <v>34</v>
      </c>
      <c r="J29" s="174">
        <f t="shared" si="2"/>
        <v>1772.8571428571429</v>
      </c>
      <c r="K29" s="361">
        <f t="shared" si="15"/>
        <v>153647.61904761905</v>
      </c>
      <c r="L29" s="174">
        <f t="shared" si="16"/>
        <v>180647.61904761905</v>
      </c>
      <c r="M29" s="442">
        <f t="shared" si="17"/>
        <v>182647.61904761905</v>
      </c>
      <c r="N29" s="73">
        <f t="shared" si="18"/>
        <v>2191771.4285714286</v>
      </c>
      <c r="O29" s="509">
        <f t="shared" si="19"/>
        <v>157647.61904761905</v>
      </c>
      <c r="P29" s="506">
        <f>IF($E$4="",0,IF($O29=0,0,VLOOKUP($O29,'3-1.標準報酬月額・保険料表'!$N$8:$O$57,2,TRUE)))</f>
        <v>160000</v>
      </c>
      <c r="Q29" s="507">
        <f t="shared" si="3"/>
        <v>184647.61904761905</v>
      </c>
      <c r="R29" s="510">
        <f>IF($E$4="",0,IF($Q29=0,0,VLOOKUP($Q29,'3-1.標準報酬月額・保険料表'!$N$8:$O$57,2,TRUE)))</f>
        <v>180000</v>
      </c>
      <c r="S29" s="359">
        <f t="shared" si="20"/>
        <v>184647.61904761905</v>
      </c>
      <c r="T29" s="458">
        <f>IF($E$4="",0,IF($S29=0,0,VLOOKUP($S29,'3-1.標準報酬月額・保険料表'!$N$8:$O$57,2,TRUE)))</f>
        <v>180000</v>
      </c>
      <c r="U29" s="457">
        <f t="shared" si="4"/>
        <v>0</v>
      </c>
      <c r="V29" s="445">
        <f t="shared" si="5"/>
        <v>0</v>
      </c>
      <c r="W29" s="163">
        <f t="shared" si="6"/>
        <v>153647.61904761905</v>
      </c>
      <c r="X29" s="36">
        <f>IF($E$4="",0,IF($I29&lt;20,0,IF($X$13="",0,IF($X$13=2,0,IF($W29&lt;$Y$13,0,IF($T29&lt;=620000,VLOOKUP($T29,'3-1.標準報酬月額・保険料表'!$D$8:$L$42,9,FALSE),'3-1.標準報酬月額・保険料表'!$L$42)+ROUNDDOWN($V29*$AD$7,0))))))</f>
        <v>16470</v>
      </c>
      <c r="Y29" s="25">
        <f>IF($E$4="",0,IF($I29&lt;20,0,IF($U$9="",0,IF($X$13=2,0,IF($E$10&gt;=$Z$13,0,IF($W29&lt;$Y$13,0,VLOOKUP($T29,'3-1.標準報酬月額・保険料表'!$D$8:$J$57,6,FALSE)+ROUNDDOWN($V29*$AA$7,0)))))))</f>
        <v>9261</v>
      </c>
      <c r="Z29" s="25">
        <f>IF($E$4="",0,IF($I29&lt;20,0,IF($X$13="",0,IF($X$13=2,0,IF($E$10&lt;$Z$13,0,IF($W29&lt;$Y$13,0,VLOOKUP($T29,'3-1.標準報酬月額・保険料表'!$D$8:$J$57,7,FALSE)+ROUNDDOWN($V29*$AB$7,0)))))))</f>
        <v>0</v>
      </c>
      <c r="AA29" s="41">
        <f t="shared" si="21"/>
        <v>25731</v>
      </c>
      <c r="AB29" s="46">
        <f>IF($E$4="",0,IF($AB$13="",0,IF($AB$13=1,0,IF($I29&lt;$AD$13,0,IF($N29&lt;$AC$13,0,IF($T29&lt;=620000,VLOOKUP($T29,'3-1.標準報酬月額・保険料表'!$D$8:$L$42,9,FALSE),'3-1.標準報酬月額・保険料表'!$L$42)+ROUNDDOWN($V29*$AD$7,0))))))</f>
        <v>0</v>
      </c>
      <c r="AC29" s="47">
        <f>IF($E$4="",0,IF($AB$13="",0,IF($AB$13=1,0,IF($I29&lt;$AD$13,0,IF($N29&lt;$AC$13,0,IF($E$10&gt;=$AE$13,0,VLOOKUP($T29,'3-1.標準報酬月額・保険料表'!$D$8:$J$57,6,FALSE)+ROUNDDOWN($V29*$AA$7,0)))))))</f>
        <v>0</v>
      </c>
      <c r="AD29" s="47">
        <f>IF($E$4="",0,IF($AB$13="",0,IF($AB$13=1,0,IF($I29&lt;$AD$13,0,IF($N29&lt;$AC$13,0,IF($E$10&lt;$AE$13,0,VLOOKUP($T29,'3-1.標準報酬月額・保険料表'!$D$8:$J$57,7,FALSE)+ROUNDDOWN($V29*$AB$7,0)))))))</f>
        <v>0</v>
      </c>
      <c r="AE29" s="48">
        <f t="shared" si="22"/>
        <v>0</v>
      </c>
      <c r="AF29" s="38">
        <f t="shared" si="7"/>
        <v>13150.628571428571</v>
      </c>
      <c r="AG29" s="43">
        <f t="shared" si="23"/>
        <v>321922.62857142859</v>
      </c>
      <c r="AH29" s="127">
        <f>IF($E$4="","",VLOOKUP($N29,'3-2.所得算出参照表'!K$5:L$10,2,TRUE))</f>
        <v>3600000</v>
      </c>
      <c r="AI29" s="128">
        <f>IF($AH29="",0,IF($AH29='3-2.所得算出参照表'!$B$5,'3-2.所得算出参照表'!$E$5,IF('4-1.手当等支給メニュー'!$AH29='3-2.所得算出参照表'!$B$6,'4-1.手当等支給メニュー'!$N29*'3-2.所得算出参照表'!$E$6+'3-2.所得算出参照表'!$G$6,IF('4-1.手当等支給メニュー'!$AH29='3-2.所得算出参照表'!$B$7,'4-1.手当等支給メニュー'!$N29*'3-2.所得算出参照表'!$E$7+'3-2.所得算出参照表'!$G$7,IF('4-1.手当等支給メニュー'!$AH29='3-2.所得算出参照表'!$B$8,'4-1.手当等支給メニュー'!$N29*'3-2.所得算出参照表'!$E$8+'3-2.所得算出参照表'!$G$8,IF('4-1.手当等支給メニュー'!$AH29='3-2.所得算出参照表'!$B$9,'4-1.手当等支給メニュー'!$N29*'3-2.所得算出参照表'!$E$9+'3-2.所得算出参照表'!$G$9,IF($AH29='3-2.所得算出参照表'!$B$10,'3-2.所得算出参照表'!$G$10)))))))</f>
        <v>737531.42857142852</v>
      </c>
      <c r="AJ29" s="90">
        <f t="shared" si="8"/>
        <v>480000</v>
      </c>
      <c r="AK29" s="85">
        <f t="shared" si="9"/>
        <v>652000</v>
      </c>
      <c r="AL29" s="130">
        <f>VLOOKUP($AK29,'3-2.所得算出参照表'!$N$4:$O$11,2,TRUE)</f>
        <v>0.05</v>
      </c>
      <c r="AM29" s="85">
        <f>VLOOKUP($AK29,'3-2.所得算出参照表'!$P$4:$Q$11,2,TRUE)</f>
        <v>0</v>
      </c>
      <c r="AN29" s="85">
        <f t="shared" si="24"/>
        <v>32600</v>
      </c>
      <c r="AO29" s="85">
        <f>$AN29*'3-2.所得算出参照表'!$D$14</f>
        <v>684.6</v>
      </c>
      <c r="AP29" s="99">
        <f t="shared" si="25"/>
        <v>33200</v>
      </c>
      <c r="AQ29" s="107">
        <f>IF($AH29="",0,IF($AH29='3-2.所得算出参照表'!$B$5,'3-2.所得算出参照表'!$E$5,IF('4-1.手当等支給メニュー'!$AH29='3-2.所得算出参照表'!$B$6,'4-1.手当等支給メニュー'!$N29*'3-2.所得算出参照表'!$E$6+'3-2.所得算出参照表'!$G$6,IF('4-1.手当等支給メニュー'!$AH29='3-2.所得算出参照表'!$B$7,'4-1.手当等支給メニュー'!$N29*'3-2.所得算出参照表'!$E$7+'3-2.所得算出参照表'!$G$7,IF('4-1.手当等支給メニュー'!$AH29='3-2.所得算出参照表'!$B$8,'4-1.手当等支給メニュー'!$N29*'3-2.所得算出参照表'!$E$8+'3-2.所得算出参照表'!$G$8,IF('4-1.手当等支給メニュー'!$AH29='3-2.所得算出参照表'!$B$9,'4-1.手当等支給メニュー'!$N29*'3-2.所得算出参照表'!$E$9+'3-2.所得算出参照表'!$G$9,IF($AH29='3-2.所得算出参照表'!$B$10,'3-2.所得算出参照表'!$G$10)))))))</f>
        <v>737531.42857142852</v>
      </c>
      <c r="AR29" s="47">
        <f t="shared" si="10"/>
        <v>430000</v>
      </c>
      <c r="AS29" s="95">
        <f t="shared" si="11"/>
        <v>702000</v>
      </c>
      <c r="AT29" s="95">
        <f t="shared" si="12"/>
        <v>5500</v>
      </c>
      <c r="AU29" s="96">
        <f t="shared" si="13"/>
        <v>0.1</v>
      </c>
      <c r="AV29" s="103">
        <f t="shared" si="26"/>
        <v>73200</v>
      </c>
      <c r="AW29" s="120">
        <f t="shared" si="14"/>
        <v>1763448.8</v>
      </c>
    </row>
    <row r="30" spans="2:49" ht="21.95" customHeight="1" x14ac:dyDescent="0.15">
      <c r="B30" s="76">
        <v>16</v>
      </c>
      <c r="C30" s="78">
        <f t="shared" si="0"/>
        <v>1040</v>
      </c>
      <c r="D30" s="438">
        <f t="shared" si="1"/>
        <v>88</v>
      </c>
      <c r="E30" s="452">
        <f>IF($E$4="","",IF(AND($I30&gt;=20,$D30=88,'4-1.参照シートー２'!$R30&lt;=104000),($P30+$V30)*$G$12,0))</f>
        <v>0</v>
      </c>
      <c r="F30" s="495">
        <f>IF('4-1.参照シートー２'!$G30="","",'4-1.参照シートー２'!$G30)</f>
        <v>28500</v>
      </c>
      <c r="G30" s="453">
        <f>IF($E$4="","",IF(AND($I30&gt;=20,$D30=88,$R30&gt;104000),('4-1.参照シートー２'!$R30+$V30)*$G$12,0))</f>
        <v>28500</v>
      </c>
      <c r="H30" s="431">
        <f t="shared" si="27"/>
        <v>15</v>
      </c>
      <c r="I30" s="60">
        <f t="shared" si="28"/>
        <v>35</v>
      </c>
      <c r="J30" s="174">
        <f t="shared" si="2"/>
        <v>1825</v>
      </c>
      <c r="K30" s="361">
        <f t="shared" si="15"/>
        <v>158166.66666666666</v>
      </c>
      <c r="L30" s="174">
        <f t="shared" si="16"/>
        <v>186666.66666666666</v>
      </c>
      <c r="M30" s="442">
        <f t="shared" si="17"/>
        <v>188666.66666666666</v>
      </c>
      <c r="N30" s="73">
        <f t="shared" si="18"/>
        <v>2264000</v>
      </c>
      <c r="O30" s="509">
        <f t="shared" si="19"/>
        <v>162166.66666666666</v>
      </c>
      <c r="P30" s="506">
        <f>IF($E$4="",0,IF($O30=0,0,VLOOKUP($O30,'3-1.標準報酬月額・保険料表'!$N$8:$O$57,2,TRUE)))</f>
        <v>160000</v>
      </c>
      <c r="Q30" s="507">
        <f t="shared" si="3"/>
        <v>190666.66666666666</v>
      </c>
      <c r="R30" s="510">
        <f>IF($E$4="",0,IF($Q30=0,0,VLOOKUP($Q30,'3-1.標準報酬月額・保険料表'!$N$8:$O$57,2,TRUE)))</f>
        <v>190000</v>
      </c>
      <c r="S30" s="359">
        <f t="shared" si="20"/>
        <v>190666.66666666666</v>
      </c>
      <c r="T30" s="458">
        <f>IF($E$4="",0,IF($S30=0,0,VLOOKUP($S30,'3-1.標準報酬月額・保険料表'!$N$8:$O$57,2,TRUE)))</f>
        <v>190000</v>
      </c>
      <c r="U30" s="457">
        <f t="shared" si="4"/>
        <v>0</v>
      </c>
      <c r="V30" s="445">
        <f t="shared" si="5"/>
        <v>0</v>
      </c>
      <c r="W30" s="163">
        <f t="shared" si="6"/>
        <v>158166.66666666666</v>
      </c>
      <c r="X30" s="36">
        <f>IF($E$4="",0,IF($I30&lt;20,0,IF($X$13="",0,IF($X$13=2,0,IF($W30&lt;$Y$13,0,IF($T30&lt;=620000,VLOOKUP($T30,'3-1.標準報酬月額・保険料表'!$D$8:$L$42,9,FALSE),'3-1.標準報酬月額・保険料表'!$L$42)+ROUNDDOWN($V30*$AD$7,0))))))</f>
        <v>17385</v>
      </c>
      <c r="Y30" s="25">
        <f>IF($E$4="",0,IF($I30&lt;20,0,IF($U$9="",0,IF($X$13=2,0,IF($E$10&gt;=$Z$13,0,IF($W30&lt;$Y$13,0,VLOOKUP($T30,'3-1.標準報酬月額・保険料表'!$D$8:$J$57,6,FALSE)+ROUNDDOWN($V30*$AA$7,0)))))))</f>
        <v>9775.5</v>
      </c>
      <c r="Z30" s="25">
        <f>IF($E$4="",0,IF($I30&lt;20,0,IF($X$13="",0,IF($X$13=2,0,IF($E$10&lt;$Z$13,0,IF($W30&lt;$Y$13,0,VLOOKUP($T30,'3-1.標準報酬月額・保険料表'!$D$8:$J$57,7,FALSE)+ROUNDDOWN($V30*$AB$7,0)))))))</f>
        <v>0</v>
      </c>
      <c r="AA30" s="41">
        <f t="shared" si="21"/>
        <v>27160.5</v>
      </c>
      <c r="AB30" s="46">
        <f>IF($E$4="",0,IF($AB$13="",0,IF($AB$13=1,0,IF($I30&lt;$AD$13,0,IF($N30&lt;$AC$13,0,IF($T30&lt;=620000,VLOOKUP($T30,'3-1.標準報酬月額・保険料表'!$D$8:$L$42,9,FALSE),'3-1.標準報酬月額・保険料表'!$L$42)+ROUNDDOWN($V30*$AD$7,0))))))</f>
        <v>0</v>
      </c>
      <c r="AC30" s="47">
        <f>IF($E$4="",0,IF($AB$13="",0,IF($AB$13=1,0,IF($I30&lt;$AD$13,0,IF($N30&lt;$AC$13,0,IF($E$10&gt;=$AE$13,0,VLOOKUP($T30,'3-1.標準報酬月額・保険料表'!$D$8:$J$57,6,FALSE)+ROUNDDOWN($V30*$AA$7,0)))))))</f>
        <v>0</v>
      </c>
      <c r="AD30" s="47">
        <f>IF($E$4="",0,IF($AB$13="",0,IF($AB$13=1,0,IF($I30&lt;$AD$13,0,IF($N30&lt;$AC$13,0,IF($E$10&lt;$AE$13,0,VLOOKUP($T30,'3-1.標準報酬月額・保険料表'!$D$8:$J$57,7,FALSE)+ROUNDDOWN($V30*$AB$7,0)))))))</f>
        <v>0</v>
      </c>
      <c r="AE30" s="48">
        <f t="shared" si="22"/>
        <v>0</v>
      </c>
      <c r="AF30" s="38">
        <f t="shared" si="7"/>
        <v>13584</v>
      </c>
      <c r="AG30" s="43">
        <f t="shared" si="23"/>
        <v>339510</v>
      </c>
      <c r="AH30" s="127">
        <f>IF($E$4="","",VLOOKUP($N30,'3-2.所得算出参照表'!K$5:L$10,2,TRUE))</f>
        <v>3600000</v>
      </c>
      <c r="AI30" s="128">
        <f>IF($AH30="",0,IF($AH30='3-2.所得算出参照表'!$B$5,'3-2.所得算出参照表'!$E$5,IF('4-1.手当等支給メニュー'!$AH30='3-2.所得算出参照表'!$B$6,'4-1.手当等支給メニュー'!$N30*'3-2.所得算出参照表'!$E$6+'3-2.所得算出参照表'!$G$6,IF('4-1.手当等支給メニュー'!$AH30='3-2.所得算出参照表'!$B$7,'4-1.手当等支給メニュー'!$N30*'3-2.所得算出参照表'!$E$7+'3-2.所得算出参照表'!$G$7,IF('4-1.手当等支給メニュー'!$AH30='3-2.所得算出参照表'!$B$8,'4-1.手当等支給メニュー'!$N30*'3-2.所得算出参照表'!$E$8+'3-2.所得算出参照表'!$G$8,IF('4-1.手当等支給メニュー'!$AH30='3-2.所得算出参照表'!$B$9,'4-1.手当等支給メニュー'!$N30*'3-2.所得算出参照表'!$E$9+'3-2.所得算出参照表'!$G$9,IF($AH30='3-2.所得算出参照表'!$B$10,'3-2.所得算出参照表'!$G$10)))))))</f>
        <v>759200</v>
      </c>
      <c r="AJ30" s="90">
        <f t="shared" si="8"/>
        <v>480000</v>
      </c>
      <c r="AK30" s="85">
        <f t="shared" si="9"/>
        <v>685000</v>
      </c>
      <c r="AL30" s="130">
        <f>VLOOKUP($AK30,'3-2.所得算出参照表'!$N$4:$O$11,2,TRUE)</f>
        <v>0.05</v>
      </c>
      <c r="AM30" s="85">
        <f>VLOOKUP($AK30,'3-2.所得算出参照表'!$P$4:$Q$11,2,TRUE)</f>
        <v>0</v>
      </c>
      <c r="AN30" s="85">
        <f t="shared" si="24"/>
        <v>34250</v>
      </c>
      <c r="AO30" s="85">
        <f>$AN30*'3-2.所得算出参照表'!$D$14</f>
        <v>719.25</v>
      </c>
      <c r="AP30" s="99">
        <f t="shared" si="25"/>
        <v>34900</v>
      </c>
      <c r="AQ30" s="107">
        <f>IF($AH30="",0,IF($AH30='3-2.所得算出参照表'!$B$5,'3-2.所得算出参照表'!$E$5,IF('4-1.手当等支給メニュー'!$AH30='3-2.所得算出参照表'!$B$6,'4-1.手当等支給メニュー'!$N30*'3-2.所得算出参照表'!$E$6+'3-2.所得算出参照表'!$G$6,IF('4-1.手当等支給メニュー'!$AH30='3-2.所得算出参照表'!$B$7,'4-1.手当等支給メニュー'!$N30*'3-2.所得算出参照表'!$E$7+'3-2.所得算出参照表'!$G$7,IF('4-1.手当等支給メニュー'!$AH30='3-2.所得算出参照表'!$B$8,'4-1.手当等支給メニュー'!$N30*'3-2.所得算出参照表'!$E$8+'3-2.所得算出参照表'!$G$8,IF('4-1.手当等支給メニュー'!$AH30='3-2.所得算出参照表'!$B$9,'4-1.手当等支給メニュー'!$N30*'3-2.所得算出参照表'!$E$9+'3-2.所得算出参照表'!$G$9,IF($AH30='3-2.所得算出参照表'!$B$10,'3-2.所得算出参照表'!$G$10)))))))</f>
        <v>759200</v>
      </c>
      <c r="AR30" s="47">
        <f t="shared" si="10"/>
        <v>430000</v>
      </c>
      <c r="AS30" s="95">
        <f t="shared" si="11"/>
        <v>735000</v>
      </c>
      <c r="AT30" s="95">
        <f t="shared" si="12"/>
        <v>5500</v>
      </c>
      <c r="AU30" s="96">
        <f t="shared" si="13"/>
        <v>0.1</v>
      </c>
      <c r="AV30" s="103">
        <f t="shared" si="26"/>
        <v>76500</v>
      </c>
      <c r="AW30" s="120">
        <f t="shared" si="14"/>
        <v>1813090</v>
      </c>
    </row>
    <row r="31" spans="2:49" ht="21.95" customHeight="1" x14ac:dyDescent="0.15">
      <c r="B31" s="76">
        <v>17</v>
      </c>
      <c r="C31" s="78">
        <f t="shared" si="0"/>
        <v>1040</v>
      </c>
      <c r="D31" s="438">
        <f t="shared" si="1"/>
        <v>88</v>
      </c>
      <c r="E31" s="452">
        <f>IF($E$4="","",IF(AND($I31&gt;=20,$D31=88,'4-1.参照シートー２'!$R31&lt;=104000),($P31+$V31)*$G$12,0))</f>
        <v>0</v>
      </c>
      <c r="F31" s="495">
        <f>IF('4-1.参照シートー２'!$G31="","",'4-1.参照シートー２'!$G31)</f>
        <v>30000</v>
      </c>
      <c r="G31" s="453">
        <f>IF($E$4="","",IF(AND($I31&gt;=20,$D31=88,$R31&gt;104000),('4-1.参照シートー２'!$R31+$V31)*$G$12,0))</f>
        <v>30000</v>
      </c>
      <c r="H31" s="431">
        <f t="shared" si="27"/>
        <v>16</v>
      </c>
      <c r="I31" s="60">
        <f t="shared" si="28"/>
        <v>36</v>
      </c>
      <c r="J31" s="174">
        <f t="shared" si="2"/>
        <v>1877.1428571428571</v>
      </c>
      <c r="K31" s="361">
        <f t="shared" si="15"/>
        <v>162685.71428571429</v>
      </c>
      <c r="L31" s="174">
        <f t="shared" si="16"/>
        <v>192685.71428571429</v>
      </c>
      <c r="M31" s="442">
        <f t="shared" si="17"/>
        <v>194685.71428571429</v>
      </c>
      <c r="N31" s="73">
        <f t="shared" si="18"/>
        <v>2336228.5714285714</v>
      </c>
      <c r="O31" s="509">
        <f t="shared" si="19"/>
        <v>166685.71428571429</v>
      </c>
      <c r="P31" s="506">
        <f>IF($E$4="",0,IF($O31=0,0,VLOOKUP($O31,'3-1.標準報酬月額・保険料表'!$N$8:$O$57,2,TRUE)))</f>
        <v>170000</v>
      </c>
      <c r="Q31" s="507">
        <f t="shared" si="3"/>
        <v>196685.71428571429</v>
      </c>
      <c r="R31" s="510">
        <f>IF($E$4="",0,IF($Q31=0,0,VLOOKUP($Q31,'3-1.標準報酬月額・保険料表'!$N$8:$O$57,2,TRUE)))</f>
        <v>200000</v>
      </c>
      <c r="S31" s="359">
        <f t="shared" si="20"/>
        <v>196685.71428571429</v>
      </c>
      <c r="T31" s="458">
        <f>IF($E$4="",0,IF($S31=0,0,VLOOKUP($S31,'3-1.標準報酬月額・保険料表'!$N$8:$O$57,2,TRUE)))</f>
        <v>200000</v>
      </c>
      <c r="U31" s="457">
        <f t="shared" si="4"/>
        <v>0</v>
      </c>
      <c r="V31" s="445">
        <f t="shared" si="5"/>
        <v>0</v>
      </c>
      <c r="W31" s="163">
        <f t="shared" si="6"/>
        <v>162685.71428571429</v>
      </c>
      <c r="X31" s="36">
        <f>IF($E$4="",0,IF($I31&lt;20,0,IF($X$13="",0,IF($X$13=2,0,IF($W31&lt;$Y$13,0,IF($T31&lt;=620000,VLOOKUP($T31,'3-1.標準報酬月額・保険料表'!$D$8:$L$42,9,FALSE),'3-1.標準報酬月額・保険料表'!$L$42)+ROUNDDOWN($V31*$AD$7,0))))))</f>
        <v>18300</v>
      </c>
      <c r="Y31" s="25">
        <f>IF($E$4="",0,IF($I31&lt;20,0,IF($U$9="",0,IF($X$13=2,0,IF($E$10&gt;=$Z$13,0,IF($W31&lt;$Y$13,0,VLOOKUP($T31,'3-1.標準報酬月額・保険料表'!$D$8:$J$57,6,FALSE)+ROUNDDOWN($V31*$AA$7,0)))))))</f>
        <v>10290</v>
      </c>
      <c r="Z31" s="25">
        <f>IF($E$4="",0,IF($I31&lt;20,0,IF($X$13="",0,IF($X$13=2,0,IF($E$10&lt;$Z$13,0,IF($W31&lt;$Y$13,0,VLOOKUP($T31,'3-1.標準報酬月額・保険料表'!$D$8:$J$57,7,FALSE)+ROUNDDOWN($V31*$AB$7,0)))))))</f>
        <v>0</v>
      </c>
      <c r="AA31" s="41">
        <f t="shared" si="21"/>
        <v>28590</v>
      </c>
      <c r="AB31" s="46">
        <f>IF($E$4="",0,IF($AB$13="",0,IF($AB$13=1,0,IF($I31&lt;$AD$13,0,IF($N31&lt;$AC$13,0,IF($T31&lt;=620000,VLOOKUP($T31,'3-1.標準報酬月額・保険料表'!$D$8:$L$42,9,FALSE),'3-1.標準報酬月額・保険料表'!$L$42)+ROUNDDOWN($V31*$AD$7,0))))))</f>
        <v>0</v>
      </c>
      <c r="AC31" s="47">
        <f>IF($E$4="",0,IF($AB$13="",0,IF($AB$13=1,0,IF($I31&lt;$AD$13,0,IF($N31&lt;$AC$13,0,IF($E$10&gt;=$AE$13,0,VLOOKUP($T31,'3-1.標準報酬月額・保険料表'!$D$8:$J$57,6,FALSE)+ROUNDDOWN($V31*$AA$7,0)))))))</f>
        <v>0</v>
      </c>
      <c r="AD31" s="47">
        <f>IF($E$4="",0,IF($AB$13="",0,IF($AB$13=1,0,IF($I31&lt;$AD$13,0,IF($N31&lt;$AC$13,0,IF($E$10&lt;$AE$13,0,VLOOKUP($T31,'3-1.標準報酬月額・保険料表'!$D$8:$J$57,7,FALSE)+ROUNDDOWN($V31*$AB$7,0)))))))</f>
        <v>0</v>
      </c>
      <c r="AE31" s="48">
        <f t="shared" si="22"/>
        <v>0</v>
      </c>
      <c r="AF31" s="38">
        <f t="shared" si="7"/>
        <v>14017.371428571429</v>
      </c>
      <c r="AG31" s="43">
        <f t="shared" si="23"/>
        <v>357097.37142857141</v>
      </c>
      <c r="AH31" s="127">
        <f>IF($E$4="","",VLOOKUP($N31,'3-2.所得算出参照表'!K$5:L$10,2,TRUE))</f>
        <v>3600000</v>
      </c>
      <c r="AI31" s="128">
        <f>IF($AH31="",0,IF($AH31='3-2.所得算出参照表'!$B$5,'3-2.所得算出参照表'!$E$5,IF('4-1.手当等支給メニュー'!$AH31='3-2.所得算出参照表'!$B$6,'4-1.手当等支給メニュー'!$N31*'3-2.所得算出参照表'!$E$6+'3-2.所得算出参照表'!$G$6,IF('4-1.手当等支給メニュー'!$AH31='3-2.所得算出参照表'!$B$7,'4-1.手当等支給メニュー'!$N31*'3-2.所得算出参照表'!$E$7+'3-2.所得算出参照表'!$G$7,IF('4-1.手当等支給メニュー'!$AH31='3-2.所得算出参照表'!$B$8,'4-1.手当等支給メニュー'!$N31*'3-2.所得算出参照表'!$E$8+'3-2.所得算出参照表'!$G$8,IF('4-1.手当等支給メニュー'!$AH31='3-2.所得算出参照表'!$B$9,'4-1.手当等支給メニュー'!$N31*'3-2.所得算出参照表'!$E$9+'3-2.所得算出参照表'!$G$9,IF($AH31='3-2.所得算出参照表'!$B$10,'3-2.所得算出参照表'!$G$10)))))))</f>
        <v>780868.57142857136</v>
      </c>
      <c r="AJ31" s="90">
        <f t="shared" si="8"/>
        <v>480000</v>
      </c>
      <c r="AK31" s="85">
        <f t="shared" si="9"/>
        <v>718000</v>
      </c>
      <c r="AL31" s="130">
        <f>VLOOKUP($AK31,'3-2.所得算出参照表'!$N$4:$O$11,2,TRUE)</f>
        <v>0.05</v>
      </c>
      <c r="AM31" s="85">
        <f>VLOOKUP($AK31,'3-2.所得算出参照表'!$P$4:$Q$11,2,TRUE)</f>
        <v>0</v>
      </c>
      <c r="AN31" s="85">
        <f t="shared" si="24"/>
        <v>35900</v>
      </c>
      <c r="AO31" s="85">
        <f>$AN31*'3-2.所得算出参照表'!$D$14</f>
        <v>753.90000000000009</v>
      </c>
      <c r="AP31" s="99">
        <f t="shared" si="25"/>
        <v>36600</v>
      </c>
      <c r="AQ31" s="107">
        <f>IF($AH31="",0,IF($AH31='3-2.所得算出参照表'!$B$5,'3-2.所得算出参照表'!$E$5,IF('4-1.手当等支給メニュー'!$AH31='3-2.所得算出参照表'!$B$6,'4-1.手当等支給メニュー'!$N31*'3-2.所得算出参照表'!$E$6+'3-2.所得算出参照表'!$G$6,IF('4-1.手当等支給メニュー'!$AH31='3-2.所得算出参照表'!$B$7,'4-1.手当等支給メニュー'!$N31*'3-2.所得算出参照表'!$E$7+'3-2.所得算出参照表'!$G$7,IF('4-1.手当等支給メニュー'!$AH31='3-2.所得算出参照表'!$B$8,'4-1.手当等支給メニュー'!$N31*'3-2.所得算出参照表'!$E$8+'3-2.所得算出参照表'!$G$8,IF('4-1.手当等支給メニュー'!$AH31='3-2.所得算出参照表'!$B$9,'4-1.手当等支給メニュー'!$N31*'3-2.所得算出参照表'!$E$9+'3-2.所得算出参照表'!$G$9,IF($AH31='3-2.所得算出参照表'!$B$10,'3-2.所得算出参照表'!$G$10)))))))</f>
        <v>780868.57142857136</v>
      </c>
      <c r="AR31" s="47">
        <f t="shared" si="10"/>
        <v>430000</v>
      </c>
      <c r="AS31" s="95">
        <f t="shared" si="11"/>
        <v>768000</v>
      </c>
      <c r="AT31" s="95">
        <f t="shared" si="12"/>
        <v>5500</v>
      </c>
      <c r="AU31" s="96">
        <f t="shared" si="13"/>
        <v>0.1</v>
      </c>
      <c r="AV31" s="103">
        <f t="shared" si="26"/>
        <v>79800</v>
      </c>
      <c r="AW31" s="120">
        <f t="shared" si="14"/>
        <v>1862731.2</v>
      </c>
    </row>
    <row r="32" spans="2:49" ht="21.95" customHeight="1" x14ac:dyDescent="0.15">
      <c r="B32" s="76">
        <v>18</v>
      </c>
      <c r="C32" s="78">
        <f t="shared" si="0"/>
        <v>1040</v>
      </c>
      <c r="D32" s="438">
        <f t="shared" si="1"/>
        <v>88</v>
      </c>
      <c r="E32" s="452">
        <f>IF($E$4="","",IF(AND($I32&gt;=20,$D32=88,'4-1.参照シートー２'!$R32&lt;=104000),($P32+$V32)*$G$12,0))</f>
        <v>0</v>
      </c>
      <c r="F32" s="495">
        <f>IF('4-1.参照シートー２'!$G32="","",'4-1.参照シートー２'!$G32)</f>
        <v>30000</v>
      </c>
      <c r="G32" s="453">
        <f>IF($E$4="","",IF(AND($I32&gt;=20,$D32=88,$R32&gt;104000),('4-1.参照シートー２'!$R32+$V32)*$G$12,0))</f>
        <v>30000</v>
      </c>
      <c r="H32" s="431">
        <f t="shared" si="27"/>
        <v>17</v>
      </c>
      <c r="I32" s="60">
        <f t="shared" si="28"/>
        <v>37</v>
      </c>
      <c r="J32" s="174">
        <f t="shared" si="2"/>
        <v>1929.2857142857142</v>
      </c>
      <c r="K32" s="361">
        <f t="shared" si="15"/>
        <v>167204.76190476189</v>
      </c>
      <c r="L32" s="174">
        <f t="shared" si="16"/>
        <v>197204.76190476189</v>
      </c>
      <c r="M32" s="442">
        <f t="shared" si="17"/>
        <v>199204.76190476189</v>
      </c>
      <c r="N32" s="73">
        <f t="shared" si="18"/>
        <v>2390457.1428571427</v>
      </c>
      <c r="O32" s="509">
        <f t="shared" si="19"/>
        <v>171204.76190476189</v>
      </c>
      <c r="P32" s="506">
        <f>IF($E$4="",0,IF($O32=0,0,VLOOKUP($O32,'3-1.標準報酬月額・保険料表'!$N$8:$O$57,2,TRUE)))</f>
        <v>170000</v>
      </c>
      <c r="Q32" s="507">
        <f t="shared" si="3"/>
        <v>201204.76190476189</v>
      </c>
      <c r="R32" s="510">
        <f>IF($E$4="",0,IF($Q32=0,0,VLOOKUP($Q32,'3-1.標準報酬月額・保険料表'!$N$8:$O$57,2,TRUE)))</f>
        <v>200000</v>
      </c>
      <c r="S32" s="359">
        <f t="shared" si="20"/>
        <v>201204.76190476189</v>
      </c>
      <c r="T32" s="458">
        <f>IF($E$4="",0,IF($S32=0,0,VLOOKUP($S32,'3-1.標準報酬月額・保険料表'!$N$8:$O$57,2,TRUE)))</f>
        <v>200000</v>
      </c>
      <c r="U32" s="457">
        <f t="shared" si="4"/>
        <v>0</v>
      </c>
      <c r="V32" s="445">
        <f t="shared" si="5"/>
        <v>0</v>
      </c>
      <c r="W32" s="163">
        <f t="shared" si="6"/>
        <v>167204.76190476189</v>
      </c>
      <c r="X32" s="36">
        <f>IF($E$4="",0,IF($I32&lt;20,0,IF($X$13="",0,IF($X$13=2,0,IF($W32&lt;$Y$13,0,IF($T32&lt;=620000,VLOOKUP($T32,'3-1.標準報酬月額・保険料表'!$D$8:$L$42,9,FALSE),'3-1.標準報酬月額・保険料表'!$L$42)+ROUNDDOWN($V32*$AD$7,0))))))</f>
        <v>18300</v>
      </c>
      <c r="Y32" s="25">
        <f>IF($E$4="",0,IF($I32&lt;20,0,IF($U$9="",0,IF($X$13=2,0,IF($E$10&gt;=$Z$13,0,IF($W32&lt;$Y$13,0,VLOOKUP($T32,'3-1.標準報酬月額・保険料表'!$D$8:$J$57,6,FALSE)+ROUNDDOWN($V32*$AA$7,0)))))))</f>
        <v>10290</v>
      </c>
      <c r="Z32" s="25">
        <f>IF($E$4="",0,IF($I32&lt;20,0,IF($X$13="",0,IF($X$13=2,0,IF($E$10&lt;$Z$13,0,IF($W32&lt;$Y$13,0,VLOOKUP($T32,'3-1.標準報酬月額・保険料表'!$D$8:$J$57,7,FALSE)+ROUNDDOWN($V32*$AB$7,0)))))))</f>
        <v>0</v>
      </c>
      <c r="AA32" s="41">
        <f t="shared" si="21"/>
        <v>28590</v>
      </c>
      <c r="AB32" s="46">
        <f>IF($E$4="",0,IF($AB$13="",0,IF($AB$13=1,0,IF($I32&lt;$AD$13,0,IF($N32&lt;$AC$13,0,IF($T32&lt;=620000,VLOOKUP($T32,'3-1.標準報酬月額・保険料表'!$D$8:$L$42,9,FALSE),'3-1.標準報酬月額・保険料表'!$L$42)+ROUNDDOWN($V32*$AD$7,0))))))</f>
        <v>0</v>
      </c>
      <c r="AC32" s="47">
        <f>IF($E$4="",0,IF($AB$13="",0,IF($AB$13=1,0,IF($I32&lt;$AD$13,0,IF($N32&lt;$AC$13,0,IF($E$10&gt;=$AE$13,0,VLOOKUP($T32,'3-1.標準報酬月額・保険料表'!$D$8:$J$57,6,FALSE)+ROUNDDOWN($V32*$AA$7,0)))))))</f>
        <v>0</v>
      </c>
      <c r="AD32" s="47">
        <f>IF($E$4="",0,IF($AB$13="",0,IF($AB$13=1,0,IF($I32&lt;$AD$13,0,IF($N32&lt;$AC$13,0,IF($E$10&lt;$AE$13,0,VLOOKUP($T32,'3-1.標準報酬月額・保険料表'!$D$8:$J$57,7,FALSE)+ROUNDDOWN($V32*$AB$7,0)))))))</f>
        <v>0</v>
      </c>
      <c r="AE32" s="48">
        <f t="shared" si="22"/>
        <v>0</v>
      </c>
      <c r="AF32" s="38">
        <f t="shared" si="7"/>
        <v>14342.742857142857</v>
      </c>
      <c r="AG32" s="43">
        <f t="shared" si="23"/>
        <v>357422.74285714288</v>
      </c>
      <c r="AH32" s="127">
        <f>IF($E$4="","",VLOOKUP($N32,'3-2.所得算出参照表'!K$5:L$10,2,TRUE))</f>
        <v>3600000</v>
      </c>
      <c r="AI32" s="128">
        <f>IF($AH32="",0,IF($AH32='3-2.所得算出参照表'!$B$5,'3-2.所得算出参照表'!$E$5,IF('4-1.手当等支給メニュー'!$AH32='3-2.所得算出参照表'!$B$6,'4-1.手当等支給メニュー'!$N32*'3-2.所得算出参照表'!$E$6+'3-2.所得算出参照表'!$G$6,IF('4-1.手当等支給メニュー'!$AH32='3-2.所得算出参照表'!$B$7,'4-1.手当等支給メニュー'!$N32*'3-2.所得算出参照表'!$E$7+'3-2.所得算出参照表'!$G$7,IF('4-1.手当等支給メニュー'!$AH32='3-2.所得算出参照表'!$B$8,'4-1.手当等支給メニュー'!$N32*'3-2.所得算出参照表'!$E$8+'3-2.所得算出参照表'!$G$8,IF('4-1.手当等支給メニュー'!$AH32='3-2.所得算出参照表'!$B$9,'4-1.手当等支給メニュー'!$N32*'3-2.所得算出参照表'!$E$9+'3-2.所得算出参照表'!$G$9,IF($AH32='3-2.所得算出参照表'!$B$10,'3-2.所得算出参照表'!$G$10)))))))</f>
        <v>797137.14285714284</v>
      </c>
      <c r="AJ32" s="90">
        <f t="shared" si="8"/>
        <v>480000</v>
      </c>
      <c r="AK32" s="85">
        <f t="shared" si="9"/>
        <v>755000</v>
      </c>
      <c r="AL32" s="130">
        <f>VLOOKUP($AK32,'3-2.所得算出参照表'!$N$4:$O$11,2,TRUE)</f>
        <v>0.05</v>
      </c>
      <c r="AM32" s="85">
        <f>VLOOKUP($AK32,'3-2.所得算出参照表'!$P$4:$Q$11,2,TRUE)</f>
        <v>0</v>
      </c>
      <c r="AN32" s="85">
        <f t="shared" si="24"/>
        <v>37750</v>
      </c>
      <c r="AO32" s="85">
        <f>$AN32*'3-2.所得算出参照表'!$D$14</f>
        <v>792.75</v>
      </c>
      <c r="AP32" s="99">
        <f t="shared" si="25"/>
        <v>38500</v>
      </c>
      <c r="AQ32" s="107">
        <f>IF($AH32="",0,IF($AH32='3-2.所得算出参照表'!$B$5,'3-2.所得算出参照表'!$E$5,IF('4-1.手当等支給メニュー'!$AH32='3-2.所得算出参照表'!$B$6,'4-1.手当等支給メニュー'!$N32*'3-2.所得算出参照表'!$E$6+'3-2.所得算出参照表'!$G$6,IF('4-1.手当等支給メニュー'!$AH32='3-2.所得算出参照表'!$B$7,'4-1.手当等支給メニュー'!$N32*'3-2.所得算出参照表'!$E$7+'3-2.所得算出参照表'!$G$7,IF('4-1.手当等支給メニュー'!$AH32='3-2.所得算出参照表'!$B$8,'4-1.手当等支給メニュー'!$N32*'3-2.所得算出参照表'!$E$8+'3-2.所得算出参照表'!$G$8,IF('4-1.手当等支給メニュー'!$AH32='3-2.所得算出参照表'!$B$9,'4-1.手当等支給メニュー'!$N32*'3-2.所得算出参照表'!$E$9+'3-2.所得算出参照表'!$G$9,IF($AH32='3-2.所得算出参照表'!$B$10,'3-2.所得算出参照表'!$G$10)))))))</f>
        <v>797137.14285714284</v>
      </c>
      <c r="AR32" s="47">
        <f t="shared" si="10"/>
        <v>430000</v>
      </c>
      <c r="AS32" s="95">
        <f t="shared" si="11"/>
        <v>805000</v>
      </c>
      <c r="AT32" s="95">
        <f t="shared" si="12"/>
        <v>5500</v>
      </c>
      <c r="AU32" s="96">
        <f t="shared" si="13"/>
        <v>0.1</v>
      </c>
      <c r="AV32" s="103">
        <f t="shared" si="26"/>
        <v>83500</v>
      </c>
      <c r="AW32" s="120">
        <f t="shared" si="14"/>
        <v>1911034.4</v>
      </c>
    </row>
    <row r="33" spans="2:49" ht="21.95" customHeight="1" x14ac:dyDescent="0.15">
      <c r="B33" s="76">
        <v>19</v>
      </c>
      <c r="C33" s="78">
        <f t="shared" si="0"/>
        <v>1040</v>
      </c>
      <c r="D33" s="438">
        <f t="shared" si="1"/>
        <v>88</v>
      </c>
      <c r="E33" s="452">
        <f>IF($E$4="","",IF(AND($I33&gt;=20,$D33=88,'4-1.参照シートー２'!$R33&lt;=104000),($P33+$V33)*$G$12,0))</f>
        <v>0</v>
      </c>
      <c r="F33" s="495">
        <f>IF('4-1.参照シートー２'!$G33="","",'4-1.参照シートー２'!$G33)</f>
        <v>30000</v>
      </c>
      <c r="G33" s="453">
        <f>IF($E$4="","",IF(AND($I33&gt;=20,$D33=88,$R33&gt;104000),('4-1.参照シートー２'!$R33+$V33)*$G$12,0))</f>
        <v>30000</v>
      </c>
      <c r="H33" s="431">
        <f t="shared" si="27"/>
        <v>18</v>
      </c>
      <c r="I33" s="60">
        <f t="shared" si="28"/>
        <v>38</v>
      </c>
      <c r="J33" s="174">
        <f t="shared" si="2"/>
        <v>1981.4285714285713</v>
      </c>
      <c r="K33" s="361">
        <f t="shared" si="15"/>
        <v>171723.8095238095</v>
      </c>
      <c r="L33" s="174">
        <f t="shared" si="16"/>
        <v>201723.8095238095</v>
      </c>
      <c r="M33" s="442">
        <f t="shared" si="17"/>
        <v>203723.8095238095</v>
      </c>
      <c r="N33" s="73">
        <f t="shared" si="18"/>
        <v>2444685.7142857141</v>
      </c>
      <c r="O33" s="509">
        <f t="shared" si="19"/>
        <v>175723.8095238095</v>
      </c>
      <c r="P33" s="506">
        <f>IF($E$4="",0,IF($O33=0,0,VLOOKUP($O33,'3-1.標準報酬月額・保険料表'!$N$8:$O$57,2,TRUE)))</f>
        <v>180000</v>
      </c>
      <c r="Q33" s="507">
        <f t="shared" si="3"/>
        <v>205723.8095238095</v>
      </c>
      <c r="R33" s="510">
        <f>IF($E$4="",0,IF($Q33=0,0,VLOOKUP($Q33,'3-1.標準報酬月額・保険料表'!$N$8:$O$57,2,TRUE)))</f>
        <v>200000</v>
      </c>
      <c r="S33" s="359">
        <f t="shared" si="20"/>
        <v>205723.8095238095</v>
      </c>
      <c r="T33" s="458">
        <f>IF($E$4="",0,IF($S33=0,0,VLOOKUP($S33,'3-1.標準報酬月額・保険料表'!$N$8:$O$57,2,TRUE)))</f>
        <v>200000</v>
      </c>
      <c r="U33" s="457">
        <f t="shared" si="4"/>
        <v>0</v>
      </c>
      <c r="V33" s="445">
        <f t="shared" si="5"/>
        <v>0</v>
      </c>
      <c r="W33" s="163">
        <f t="shared" si="6"/>
        <v>171723.8095238095</v>
      </c>
      <c r="X33" s="36">
        <f>IF($E$4="",0,IF($I33&lt;20,0,IF($X$13="",0,IF($X$13=2,0,IF($W33&lt;$Y$13,0,IF($T33&lt;=620000,VLOOKUP($T33,'3-1.標準報酬月額・保険料表'!$D$8:$L$42,9,FALSE),'3-1.標準報酬月額・保険料表'!$L$42)+ROUNDDOWN($V33*$AD$7,0))))))</f>
        <v>18300</v>
      </c>
      <c r="Y33" s="25">
        <f>IF($E$4="",0,IF($I33&lt;20,0,IF($U$9="",0,IF($X$13=2,0,IF($E$10&gt;=$Z$13,0,IF($W33&lt;$Y$13,0,VLOOKUP($T33,'3-1.標準報酬月額・保険料表'!$D$8:$J$57,6,FALSE)+ROUNDDOWN($V33*$AA$7,0)))))))</f>
        <v>10290</v>
      </c>
      <c r="Z33" s="25">
        <f>IF($E$4="",0,IF($I33&lt;20,0,IF($X$13="",0,IF($X$13=2,0,IF($E$10&lt;$Z$13,0,IF($W33&lt;$Y$13,0,VLOOKUP($T33,'3-1.標準報酬月額・保険料表'!$D$8:$J$57,7,FALSE)+ROUNDDOWN($V33*$AB$7,0)))))))</f>
        <v>0</v>
      </c>
      <c r="AA33" s="41">
        <f t="shared" si="21"/>
        <v>28590</v>
      </c>
      <c r="AB33" s="46">
        <f>IF($E$4="",0,IF($AB$13="",0,IF($AB$13=1,0,IF($I33&lt;$AD$13,0,IF($N33&lt;$AC$13,0,IF($T33&lt;=620000,VLOOKUP($T33,'3-1.標準報酬月額・保険料表'!$D$8:$L$42,9,FALSE),'3-1.標準報酬月額・保険料表'!$L$42)+ROUNDDOWN($V33*$AD$7,0))))))</f>
        <v>0</v>
      </c>
      <c r="AC33" s="47">
        <f>IF($E$4="",0,IF($AB$13="",0,IF($AB$13=1,0,IF($I33&lt;$AD$13,0,IF($N33&lt;$AC$13,0,IF($E$10&gt;=$AE$13,0,VLOOKUP($T33,'3-1.標準報酬月額・保険料表'!$D$8:$J$57,6,FALSE)+ROUNDDOWN($V33*$AA$7,0)))))))</f>
        <v>0</v>
      </c>
      <c r="AD33" s="47">
        <f>IF($E$4="",0,IF($AB$13="",0,IF($AB$13=1,0,IF($I33&lt;$AD$13,0,IF($N33&lt;$AC$13,0,IF($E$10&lt;$AE$13,0,VLOOKUP($T33,'3-1.標準報酬月額・保険料表'!$D$8:$J$57,7,FALSE)+ROUNDDOWN($V33*$AB$7,0)))))))</f>
        <v>0</v>
      </c>
      <c r="AE33" s="48">
        <f t="shared" si="22"/>
        <v>0</v>
      </c>
      <c r="AF33" s="38">
        <f t="shared" si="7"/>
        <v>14668.114285714284</v>
      </c>
      <c r="AG33" s="43">
        <f t="shared" si="23"/>
        <v>357748.11428571428</v>
      </c>
      <c r="AH33" s="127">
        <f>IF($E$4="","",VLOOKUP($N33,'3-2.所得算出参照表'!K$5:L$10,2,TRUE))</f>
        <v>3600000</v>
      </c>
      <c r="AI33" s="128">
        <f>IF($AH33="",0,IF($AH33='3-2.所得算出参照表'!$B$5,'3-2.所得算出参照表'!$E$5,IF('4-1.手当等支給メニュー'!$AH33='3-2.所得算出参照表'!$B$6,'4-1.手当等支給メニュー'!$N33*'3-2.所得算出参照表'!$E$6+'3-2.所得算出参照表'!$G$6,IF('4-1.手当等支給メニュー'!$AH33='3-2.所得算出参照表'!$B$7,'4-1.手当等支給メニュー'!$N33*'3-2.所得算出参照表'!$E$7+'3-2.所得算出参照表'!$G$7,IF('4-1.手当等支給メニュー'!$AH33='3-2.所得算出参照表'!$B$8,'4-1.手当等支給メニュー'!$N33*'3-2.所得算出参照表'!$E$8+'3-2.所得算出参照表'!$G$8,IF('4-1.手当等支給メニュー'!$AH33='3-2.所得算出参照表'!$B$9,'4-1.手当等支給メニュー'!$N33*'3-2.所得算出参照表'!$E$9+'3-2.所得算出参照表'!$G$9,IF($AH33='3-2.所得算出参照表'!$B$10,'3-2.所得算出参照表'!$G$10)))))))</f>
        <v>813405.7142857142</v>
      </c>
      <c r="AJ33" s="90">
        <f t="shared" si="8"/>
        <v>480000</v>
      </c>
      <c r="AK33" s="85">
        <f t="shared" si="9"/>
        <v>793000</v>
      </c>
      <c r="AL33" s="130">
        <f>VLOOKUP($AK33,'3-2.所得算出参照表'!$N$4:$O$11,2,TRUE)</f>
        <v>0.05</v>
      </c>
      <c r="AM33" s="85">
        <f>VLOOKUP($AK33,'3-2.所得算出参照表'!$P$4:$Q$11,2,TRUE)</f>
        <v>0</v>
      </c>
      <c r="AN33" s="85">
        <f t="shared" si="24"/>
        <v>39650</v>
      </c>
      <c r="AO33" s="85">
        <f>$AN33*'3-2.所得算出参照表'!$D$14</f>
        <v>832.65000000000009</v>
      </c>
      <c r="AP33" s="99">
        <f t="shared" si="25"/>
        <v>40400</v>
      </c>
      <c r="AQ33" s="107">
        <f>IF($AH33="",0,IF($AH33='3-2.所得算出参照表'!$B$5,'3-2.所得算出参照表'!$E$5,IF('4-1.手当等支給メニュー'!$AH33='3-2.所得算出参照表'!$B$6,'4-1.手当等支給メニュー'!$N33*'3-2.所得算出参照表'!$E$6+'3-2.所得算出参照表'!$G$6,IF('4-1.手当等支給メニュー'!$AH33='3-2.所得算出参照表'!$B$7,'4-1.手当等支給メニュー'!$N33*'3-2.所得算出参照表'!$E$7+'3-2.所得算出参照表'!$G$7,IF('4-1.手当等支給メニュー'!$AH33='3-2.所得算出参照表'!$B$8,'4-1.手当等支給メニュー'!$N33*'3-2.所得算出参照表'!$E$8+'3-2.所得算出参照表'!$G$8,IF('4-1.手当等支給メニュー'!$AH33='3-2.所得算出参照表'!$B$9,'4-1.手当等支給メニュー'!$N33*'3-2.所得算出参照表'!$E$9+'3-2.所得算出参照表'!$G$9,IF($AH33='3-2.所得算出参照表'!$B$10,'3-2.所得算出参照表'!$G$10)))))))</f>
        <v>813405.7142857142</v>
      </c>
      <c r="AR33" s="47">
        <f t="shared" si="10"/>
        <v>430000</v>
      </c>
      <c r="AS33" s="95">
        <f t="shared" si="11"/>
        <v>843000</v>
      </c>
      <c r="AT33" s="95">
        <f t="shared" si="12"/>
        <v>5500</v>
      </c>
      <c r="AU33" s="96">
        <f t="shared" si="13"/>
        <v>0.1</v>
      </c>
      <c r="AV33" s="103">
        <f t="shared" si="26"/>
        <v>87300</v>
      </c>
      <c r="AW33" s="120">
        <f t="shared" si="14"/>
        <v>1959237.5999999999</v>
      </c>
    </row>
    <row r="34" spans="2:49" ht="21.95" customHeight="1" x14ac:dyDescent="0.15">
      <c r="B34" s="76">
        <v>20</v>
      </c>
      <c r="C34" s="78">
        <f t="shared" si="0"/>
        <v>1040</v>
      </c>
      <c r="D34" s="438">
        <f t="shared" si="1"/>
        <v>88</v>
      </c>
      <c r="E34" s="452">
        <f>IF($E$4="","",IF(AND($I34&gt;=20,$D34=88,'4-1.参照シートー２'!$R34&lt;=104000),($P34+$V34)*$G$12,0))</f>
        <v>0</v>
      </c>
      <c r="F34" s="495">
        <f>IF('4-1.参照シートー２'!$G34="","",'4-1.参照シートー２'!$G34)</f>
        <v>33000</v>
      </c>
      <c r="G34" s="453">
        <f>IF($E$4="","",IF(AND($I34&gt;=20,$D34=88,$R34&gt;104000),('4-1.参照シートー２'!$R34+$V34)*$G$12,0))</f>
        <v>33000</v>
      </c>
      <c r="H34" s="431">
        <f t="shared" si="27"/>
        <v>19</v>
      </c>
      <c r="I34" s="60">
        <f t="shared" si="28"/>
        <v>39</v>
      </c>
      <c r="J34" s="174">
        <f t="shared" si="2"/>
        <v>2033.5714285714287</v>
      </c>
      <c r="K34" s="361">
        <f t="shared" si="15"/>
        <v>176242.85714285716</v>
      </c>
      <c r="L34" s="174">
        <f t="shared" si="16"/>
        <v>209242.85714285716</v>
      </c>
      <c r="M34" s="442">
        <f t="shared" si="17"/>
        <v>211242.85714285716</v>
      </c>
      <c r="N34" s="73">
        <f t="shared" si="18"/>
        <v>2534914.2857142859</v>
      </c>
      <c r="O34" s="509">
        <f t="shared" si="19"/>
        <v>180242.85714285716</v>
      </c>
      <c r="P34" s="506">
        <f>IF($E$4="",0,IF($O34=0,0,VLOOKUP($O34,'3-1.標準報酬月額・保険料表'!$N$8:$O$57,2,TRUE)))</f>
        <v>180000</v>
      </c>
      <c r="Q34" s="507">
        <f t="shared" si="3"/>
        <v>213242.85714285716</v>
      </c>
      <c r="R34" s="510">
        <f>IF($E$4="",0,IF($Q34=0,0,VLOOKUP($Q34,'3-1.標準報酬月額・保険料表'!$N$8:$O$57,2,TRUE)))</f>
        <v>220000</v>
      </c>
      <c r="S34" s="359">
        <f t="shared" si="20"/>
        <v>213242.85714285716</v>
      </c>
      <c r="T34" s="458">
        <f>IF($E$4="",0,IF($S34=0,0,VLOOKUP($S34,'3-1.標準報酬月額・保険料表'!$N$8:$O$57,2,TRUE)))</f>
        <v>220000</v>
      </c>
      <c r="U34" s="457">
        <f t="shared" si="4"/>
        <v>0</v>
      </c>
      <c r="V34" s="445">
        <f t="shared" si="5"/>
        <v>0</v>
      </c>
      <c r="W34" s="163">
        <f t="shared" si="6"/>
        <v>176242.85714285716</v>
      </c>
      <c r="X34" s="36">
        <f>IF($E$4="",0,IF($I34&lt;20,0,IF($X$13="",0,IF($X$13=2,0,IF($W34&lt;$Y$13,0,IF($T34&lt;=620000,VLOOKUP($T34,'3-1.標準報酬月額・保険料表'!$D$8:$L$42,9,FALSE),'3-1.標準報酬月額・保険料表'!$L$42)+ROUNDDOWN($V34*$AD$7,0))))))</f>
        <v>20130</v>
      </c>
      <c r="Y34" s="25">
        <f>IF($E$4="",0,IF($I34&lt;20,0,IF($U$9="",0,IF($X$13=2,0,IF($E$10&gt;=$Z$13,0,IF($W34&lt;$Y$13,0,VLOOKUP($T34,'3-1.標準報酬月額・保険料表'!$D$8:$J$57,6,FALSE)+ROUNDDOWN($V34*$AA$7,0)))))))</f>
        <v>11319</v>
      </c>
      <c r="Z34" s="25">
        <f>IF($E$4="",0,IF($I34&lt;20,0,IF($X$13="",0,IF($X$13=2,0,IF($E$10&lt;$Z$13,0,IF($W34&lt;$Y$13,0,VLOOKUP($T34,'3-1.標準報酬月額・保険料表'!$D$8:$J$57,7,FALSE)+ROUNDDOWN($V34*$AB$7,0)))))))</f>
        <v>0</v>
      </c>
      <c r="AA34" s="41">
        <f t="shared" si="21"/>
        <v>31449</v>
      </c>
      <c r="AB34" s="46">
        <f>IF($E$4="",0,IF($AB$13="",0,IF($AB$13=1,0,IF($I34&lt;$AD$13,0,IF($N34&lt;$AC$13,0,IF($T34&lt;=620000,VLOOKUP($T34,'3-1.標準報酬月額・保険料表'!$D$8:$L$42,9,FALSE),'3-1.標準報酬月額・保険料表'!$L$42)+ROUNDDOWN($V34*$AD$7,0))))))</f>
        <v>0</v>
      </c>
      <c r="AC34" s="47">
        <f>IF($E$4="",0,IF($AB$13="",0,IF($AB$13=1,0,IF($I34&lt;$AD$13,0,IF($N34&lt;$AC$13,0,IF($E$10&gt;=$AE$13,0,VLOOKUP($T34,'3-1.標準報酬月額・保険料表'!$D$8:$J$57,6,FALSE)+ROUNDDOWN($V34*$AA$7,0)))))))</f>
        <v>0</v>
      </c>
      <c r="AD34" s="47">
        <f>IF($E$4="",0,IF($AB$13="",0,IF($AB$13=1,0,IF($I34&lt;$AD$13,0,IF($N34&lt;$AC$13,0,IF($E$10&lt;$AE$13,0,VLOOKUP($T34,'3-1.標準報酬月額・保険料表'!$D$8:$J$57,7,FALSE)+ROUNDDOWN($V34*$AB$7,0)))))))</f>
        <v>0</v>
      </c>
      <c r="AE34" s="48">
        <f t="shared" si="22"/>
        <v>0</v>
      </c>
      <c r="AF34" s="38">
        <f t="shared" si="7"/>
        <v>15209.485714285716</v>
      </c>
      <c r="AG34" s="43">
        <f t="shared" si="23"/>
        <v>392597.48571428569</v>
      </c>
      <c r="AH34" s="127">
        <f>IF($E$4="","",VLOOKUP($N34,'3-2.所得算出参照表'!K$5:L$10,2,TRUE))</f>
        <v>3600000</v>
      </c>
      <c r="AI34" s="128">
        <f>IF($AH34="",0,IF($AH34='3-2.所得算出参照表'!$B$5,'3-2.所得算出参照表'!$E$5,IF('4-1.手当等支給メニュー'!$AH34='3-2.所得算出参照表'!$B$6,'4-1.手当等支給メニュー'!$N34*'3-2.所得算出参照表'!$E$6+'3-2.所得算出参照表'!$G$6,IF('4-1.手当等支給メニュー'!$AH34='3-2.所得算出参照表'!$B$7,'4-1.手当等支給メニュー'!$N34*'3-2.所得算出参照表'!$E$7+'3-2.所得算出参照表'!$G$7,IF('4-1.手当等支給メニュー'!$AH34='3-2.所得算出参照表'!$B$8,'4-1.手当等支給メニュー'!$N34*'3-2.所得算出参照表'!$E$8+'3-2.所得算出参照表'!$G$8,IF('4-1.手当等支給メニュー'!$AH34='3-2.所得算出参照表'!$B$9,'4-1.手当等支給メニュー'!$N34*'3-2.所得算出参照表'!$E$9+'3-2.所得算出参照表'!$G$9,IF($AH34='3-2.所得算出参照表'!$B$10,'3-2.所得算出参照表'!$G$10)))))))</f>
        <v>840474.2857142858</v>
      </c>
      <c r="AJ34" s="90">
        <f t="shared" si="8"/>
        <v>480000</v>
      </c>
      <c r="AK34" s="85">
        <f t="shared" si="9"/>
        <v>821000</v>
      </c>
      <c r="AL34" s="130">
        <f>VLOOKUP($AK34,'3-2.所得算出参照表'!$N$4:$O$11,2,TRUE)</f>
        <v>0.05</v>
      </c>
      <c r="AM34" s="85">
        <f>VLOOKUP($AK34,'3-2.所得算出参照表'!$P$4:$Q$11,2,TRUE)</f>
        <v>0</v>
      </c>
      <c r="AN34" s="85">
        <f t="shared" si="24"/>
        <v>41050</v>
      </c>
      <c r="AO34" s="85">
        <f>$AN34*'3-2.所得算出参照表'!$D$14</f>
        <v>862.05000000000007</v>
      </c>
      <c r="AP34" s="99">
        <f t="shared" si="25"/>
        <v>41900</v>
      </c>
      <c r="AQ34" s="107">
        <f>IF($AH34="",0,IF($AH34='3-2.所得算出参照表'!$B$5,'3-2.所得算出参照表'!$E$5,IF('4-1.手当等支給メニュー'!$AH34='3-2.所得算出参照表'!$B$6,'4-1.手当等支給メニュー'!$N34*'3-2.所得算出参照表'!$E$6+'3-2.所得算出参照表'!$G$6,IF('4-1.手当等支給メニュー'!$AH34='3-2.所得算出参照表'!$B$7,'4-1.手当等支給メニュー'!$N34*'3-2.所得算出参照表'!$E$7+'3-2.所得算出参照表'!$G$7,IF('4-1.手当等支給メニュー'!$AH34='3-2.所得算出参照表'!$B$8,'4-1.手当等支給メニュー'!$N34*'3-2.所得算出参照表'!$E$8+'3-2.所得算出参照表'!$G$8,IF('4-1.手当等支給メニュー'!$AH34='3-2.所得算出参照表'!$B$9,'4-1.手当等支給メニュー'!$N34*'3-2.所得算出参照表'!$E$9+'3-2.所得算出参照表'!$G$9,IF($AH34='3-2.所得算出参照表'!$B$10,'3-2.所得算出参照表'!$G$10)))))))</f>
        <v>840474.2857142858</v>
      </c>
      <c r="AR34" s="47">
        <f t="shared" si="10"/>
        <v>430000</v>
      </c>
      <c r="AS34" s="95">
        <f t="shared" si="11"/>
        <v>871000</v>
      </c>
      <c r="AT34" s="95">
        <f t="shared" si="12"/>
        <v>5500</v>
      </c>
      <c r="AU34" s="96">
        <f t="shared" si="13"/>
        <v>0.1</v>
      </c>
      <c r="AV34" s="103">
        <f t="shared" si="26"/>
        <v>90100</v>
      </c>
      <c r="AW34" s="120">
        <f t="shared" si="14"/>
        <v>2010316.8000000003</v>
      </c>
    </row>
    <row r="35" spans="2:49" ht="21.95" customHeight="1" x14ac:dyDescent="0.15">
      <c r="B35" s="76">
        <v>21</v>
      </c>
      <c r="C35" s="78" t="str">
        <f t="shared" si="0"/>
        <v/>
      </c>
      <c r="D35" s="438" t="str">
        <f t="shared" si="1"/>
        <v/>
      </c>
      <c r="E35" s="452">
        <f>IF($E$4="","",IF(AND($I35&gt;=20,$D35=88,'4-1.参照シートー２'!$R35&lt;=104000),($P35+$V35)*$G$12,0))</f>
        <v>0</v>
      </c>
      <c r="F35" s="495">
        <f>IF('4-1.参照シートー２'!$G35="","",'4-1.参照シートー２'!$G35)</f>
        <v>0</v>
      </c>
      <c r="G35" s="453">
        <f>IF($E$4="","",IF(AND($I35&gt;=20,$D35=88,$R35&gt;104000),('4-1.参照シートー２'!$R35+$V35)*$G$12,0))</f>
        <v>0</v>
      </c>
      <c r="H35" s="431" t="str">
        <f t="shared" si="27"/>
        <v/>
      </c>
      <c r="I35" s="60" t="str">
        <f t="shared" si="28"/>
        <v/>
      </c>
      <c r="J35" s="174" t="str">
        <f t="shared" si="2"/>
        <v/>
      </c>
      <c r="K35" s="361">
        <f t="shared" si="15"/>
        <v>0</v>
      </c>
      <c r="L35" s="174">
        <f t="shared" si="16"/>
        <v>0</v>
      </c>
      <c r="M35" s="442">
        <f t="shared" si="17"/>
        <v>0</v>
      </c>
      <c r="N35" s="73">
        <f t="shared" si="18"/>
        <v>0</v>
      </c>
      <c r="O35" s="509">
        <f t="shared" si="19"/>
        <v>0</v>
      </c>
      <c r="P35" s="506">
        <f>IF($E$4="",0,IF($O35=0,0,VLOOKUP($O35,'3-1.標準報酬月額・保険料表'!$N$8:$O$57,2,TRUE)))</f>
        <v>0</v>
      </c>
      <c r="Q35" s="507">
        <f t="shared" si="3"/>
        <v>0</v>
      </c>
      <c r="R35" s="510">
        <f>IF($E$4="",0,IF($Q35=0,0,VLOOKUP($Q35,'3-1.標準報酬月額・保険料表'!$N$8:$O$57,2,TRUE)))</f>
        <v>0</v>
      </c>
      <c r="S35" s="359">
        <f t="shared" si="20"/>
        <v>0</v>
      </c>
      <c r="T35" s="458">
        <f>IF($E$4="",0,IF($S35=0,0,VLOOKUP($S35,'3-1.標準報酬月額・保険料表'!$N$8:$O$57,2,TRUE)))</f>
        <v>0</v>
      </c>
      <c r="U35" s="457">
        <f t="shared" si="4"/>
        <v>0</v>
      </c>
      <c r="V35" s="445">
        <f t="shared" si="5"/>
        <v>0</v>
      </c>
      <c r="W35" s="163">
        <f t="shared" si="6"/>
        <v>0</v>
      </c>
      <c r="X35" s="36">
        <f>IF($E$4="",0,IF($I35&lt;20,0,IF($X$13="",0,IF($X$13=2,0,IF($W35&lt;$Y$13,0,IF($T35&lt;=620000,VLOOKUP($T35,'3-1.標準報酬月額・保険料表'!$D$8:$L$42,9,FALSE),'3-1.標準報酬月額・保険料表'!$L$42)+ROUNDDOWN($V35*$AD$7,0))))))</f>
        <v>0</v>
      </c>
      <c r="Y35" s="25">
        <f>IF($E$4="",0,IF($I35&lt;20,0,IF($U$9="",0,IF($X$13=2,0,IF($E$10&gt;=$Z$13,0,IF($W35&lt;$Y$13,0,VLOOKUP($T35,'3-1.標準報酬月額・保険料表'!$D$8:$J$57,6,FALSE)+ROUNDDOWN($V35*$AA$7,0)))))))</f>
        <v>0</v>
      </c>
      <c r="Z35" s="25">
        <f>IF($E$4="",0,IF($I35&lt;20,0,IF($X$13="",0,IF($X$13=2,0,IF($E$10&lt;$Z$13,0,IF($W35&lt;$Y$13,0,VLOOKUP($T35,'3-1.標準報酬月額・保険料表'!$D$8:$J$57,7,FALSE)+ROUNDDOWN($V35*$AB$7,0)))))))</f>
        <v>0</v>
      </c>
      <c r="AA35" s="41">
        <f t="shared" si="21"/>
        <v>0</v>
      </c>
      <c r="AB35" s="46">
        <f>IF($E$4="",0,IF($AB$13="",0,IF($AB$13=1,0,IF($I35&lt;$AD$13,0,IF($N35&lt;$AC$13,0,IF($T35&lt;=620000,VLOOKUP($T35,'3-1.標準報酬月額・保険料表'!$D$8:$L$42,9,FALSE),'3-1.標準報酬月額・保険料表'!$L$42)+ROUNDDOWN($V35*$AD$7,0))))))</f>
        <v>0</v>
      </c>
      <c r="AC35" s="47">
        <f>IF($E$4="",0,IF($AB$13="",0,IF($AB$13=1,0,IF($I35&lt;$AD$13,0,IF($N35&lt;$AC$13,0,IF($E$10&gt;=$AE$13,0,VLOOKUP($T35,'3-1.標準報酬月額・保険料表'!$D$8:$J$57,6,FALSE)+ROUNDDOWN($V35*$AA$7,0)))))))</f>
        <v>0</v>
      </c>
      <c r="AD35" s="47">
        <f>IF($E$4="",0,IF($AB$13="",0,IF($AB$13=1,0,IF($I35&lt;$AD$13,0,IF($N35&lt;$AC$13,0,IF($E$10&lt;$AE$13,0,VLOOKUP($T35,'3-1.標準報酬月額・保険料表'!$D$8:$J$57,7,FALSE)+ROUNDDOWN($V35*$AB$7,0)))))))</f>
        <v>0</v>
      </c>
      <c r="AE35" s="48">
        <f t="shared" si="22"/>
        <v>0</v>
      </c>
      <c r="AF35" s="38">
        <f t="shared" si="7"/>
        <v>0</v>
      </c>
      <c r="AG35" s="43">
        <f t="shared" si="23"/>
        <v>0</v>
      </c>
      <c r="AH35" s="127">
        <f>IF($E$4="","",VLOOKUP($N35,'3-2.所得算出参照表'!K$5:L$10,2,TRUE))</f>
        <v>1625000</v>
      </c>
      <c r="AI35" s="128">
        <f>IF($AH35="",0,IF($AH35='3-2.所得算出参照表'!$B$5,'3-2.所得算出参照表'!$E$5,IF('4-1.手当等支給メニュー'!$AH35='3-2.所得算出参照表'!$B$6,'4-1.手当等支給メニュー'!$N35*'3-2.所得算出参照表'!$E$6+'3-2.所得算出参照表'!$G$6,IF('4-1.手当等支給メニュー'!$AH35='3-2.所得算出参照表'!$B$7,'4-1.手当等支給メニュー'!$N35*'3-2.所得算出参照表'!$E$7+'3-2.所得算出参照表'!$G$7,IF('4-1.手当等支給メニュー'!$AH35='3-2.所得算出参照表'!$B$8,'4-1.手当等支給メニュー'!$N35*'3-2.所得算出参照表'!$E$8+'3-2.所得算出参照表'!$G$8,IF('4-1.手当等支給メニュー'!$AH35='3-2.所得算出参照表'!$B$9,'4-1.手当等支給メニュー'!$N35*'3-2.所得算出参照表'!$E$9+'3-2.所得算出参照表'!$G$9,IF($AH35='3-2.所得算出参照表'!$B$10,'3-2.所得算出参照表'!$G$10)))))))</f>
        <v>550000</v>
      </c>
      <c r="AJ35" s="90">
        <f t="shared" si="8"/>
        <v>480000</v>
      </c>
      <c r="AK35" s="85">
        <f t="shared" si="9"/>
        <v>0</v>
      </c>
      <c r="AL35" s="130">
        <f>VLOOKUP($AK35,'3-2.所得算出参照表'!$N$4:$O$11,2,TRUE)</f>
        <v>0</v>
      </c>
      <c r="AM35" s="85">
        <f>VLOOKUP($AK35,'3-2.所得算出参照表'!$P$4:$Q$11,2,TRUE)</f>
        <v>0</v>
      </c>
      <c r="AN35" s="85">
        <f t="shared" si="24"/>
        <v>0</v>
      </c>
      <c r="AO35" s="85">
        <f>$AN35*'3-2.所得算出参照表'!$D$14</f>
        <v>0</v>
      </c>
      <c r="AP35" s="99">
        <f t="shared" si="25"/>
        <v>0</v>
      </c>
      <c r="AQ35" s="107">
        <f>IF($AH35="",0,IF($AH35='3-2.所得算出参照表'!$B$5,'3-2.所得算出参照表'!$E$5,IF('4-1.手当等支給メニュー'!$AH35='3-2.所得算出参照表'!$B$6,'4-1.手当等支給メニュー'!$N35*'3-2.所得算出参照表'!$E$6+'3-2.所得算出参照表'!$G$6,IF('4-1.手当等支給メニュー'!$AH35='3-2.所得算出参照表'!$B$7,'4-1.手当等支給メニュー'!$N35*'3-2.所得算出参照表'!$E$7+'3-2.所得算出参照表'!$G$7,IF('4-1.手当等支給メニュー'!$AH35='3-2.所得算出参照表'!$B$8,'4-1.手当等支給メニュー'!$N35*'3-2.所得算出参照表'!$E$8+'3-2.所得算出参照表'!$G$8,IF('4-1.手当等支給メニュー'!$AH35='3-2.所得算出参照表'!$B$9,'4-1.手当等支給メニュー'!$N35*'3-2.所得算出参照表'!$E$9+'3-2.所得算出参照表'!$G$9,IF($AH35='3-2.所得算出参照表'!$B$10,'3-2.所得算出参照表'!$G$10)))))))</f>
        <v>550000</v>
      </c>
      <c r="AR35" s="47">
        <f t="shared" si="10"/>
        <v>430000</v>
      </c>
      <c r="AS35" s="95">
        <f t="shared" si="11"/>
        <v>0</v>
      </c>
      <c r="AT35" s="95">
        <f t="shared" si="12"/>
        <v>0</v>
      </c>
      <c r="AU35" s="96">
        <f t="shared" si="13"/>
        <v>0</v>
      </c>
      <c r="AV35" s="103">
        <f t="shared" si="26"/>
        <v>0</v>
      </c>
      <c r="AW35" s="120">
        <f t="shared" si="14"/>
        <v>0</v>
      </c>
    </row>
    <row r="36" spans="2:49" ht="21.95" customHeight="1" x14ac:dyDescent="0.15">
      <c r="B36" s="76">
        <v>22</v>
      </c>
      <c r="C36" s="78" t="str">
        <f t="shared" si="0"/>
        <v/>
      </c>
      <c r="D36" s="438" t="str">
        <f t="shared" si="1"/>
        <v/>
      </c>
      <c r="E36" s="452">
        <f>IF($E$4="","",IF(AND($I36&gt;=20,$D36=88,'4-1.参照シートー２'!$R36&lt;=104000),($P36+$V36)*$G$12,0))</f>
        <v>0</v>
      </c>
      <c r="F36" s="495">
        <f>IF('4-1.参照シートー２'!$G36="","",'4-1.参照シートー２'!$G36)</f>
        <v>0</v>
      </c>
      <c r="G36" s="453">
        <f>IF($E$4="","",IF(AND($I36&gt;=20,$D36=88,$R36&gt;104000),('4-1.参照シートー２'!$R36+$V36)*$G$12,0))</f>
        <v>0</v>
      </c>
      <c r="H36" s="431" t="str">
        <f t="shared" si="27"/>
        <v/>
      </c>
      <c r="I36" s="60" t="str">
        <f t="shared" si="28"/>
        <v/>
      </c>
      <c r="J36" s="174" t="str">
        <f t="shared" si="2"/>
        <v/>
      </c>
      <c r="K36" s="361">
        <f t="shared" si="15"/>
        <v>0</v>
      </c>
      <c r="L36" s="174">
        <f t="shared" si="16"/>
        <v>0</v>
      </c>
      <c r="M36" s="442">
        <f t="shared" si="17"/>
        <v>0</v>
      </c>
      <c r="N36" s="73">
        <f t="shared" si="18"/>
        <v>0</v>
      </c>
      <c r="O36" s="509">
        <f t="shared" si="19"/>
        <v>0</v>
      </c>
      <c r="P36" s="506">
        <f>IF($E$4="",0,IF($O36=0,0,VLOOKUP($O36,'3-1.標準報酬月額・保険料表'!$N$8:$O$57,2,TRUE)))</f>
        <v>0</v>
      </c>
      <c r="Q36" s="507">
        <f t="shared" si="3"/>
        <v>0</v>
      </c>
      <c r="R36" s="510">
        <f>IF($E$4="",0,IF($Q36=0,0,VLOOKUP($Q36,'3-1.標準報酬月額・保険料表'!$N$8:$O$57,2,TRUE)))</f>
        <v>0</v>
      </c>
      <c r="S36" s="359">
        <f t="shared" si="20"/>
        <v>0</v>
      </c>
      <c r="T36" s="458">
        <f>IF($E$4="",0,IF($S36=0,0,VLOOKUP($S36,'3-1.標準報酬月額・保険料表'!$N$8:$O$57,2,TRUE)))</f>
        <v>0</v>
      </c>
      <c r="U36" s="457">
        <f t="shared" si="4"/>
        <v>0</v>
      </c>
      <c r="V36" s="445">
        <f t="shared" si="5"/>
        <v>0</v>
      </c>
      <c r="W36" s="163">
        <f t="shared" si="6"/>
        <v>0</v>
      </c>
      <c r="X36" s="36">
        <f>IF($E$4="",0,IF($I36&lt;20,0,IF($X$13="",0,IF($X$13=2,0,IF($W36&lt;$Y$13,0,IF($T36&lt;=620000,VLOOKUP($T36,'3-1.標準報酬月額・保険料表'!$D$8:$L$42,9,FALSE),'3-1.標準報酬月額・保険料表'!$L$42)+ROUNDDOWN($V36*$AD$7,0))))))</f>
        <v>0</v>
      </c>
      <c r="Y36" s="25">
        <f>IF($E$4="",0,IF($I36&lt;20,0,IF($U$9="",0,IF($X$13=2,0,IF($E$10&gt;=$Z$13,0,IF($W36&lt;$Y$13,0,VLOOKUP($T36,'3-1.標準報酬月額・保険料表'!$D$8:$J$57,6,FALSE)+ROUNDDOWN($V36*$AA$7,0)))))))</f>
        <v>0</v>
      </c>
      <c r="Z36" s="25">
        <f>IF($E$4="",0,IF($I36&lt;20,0,IF($X$13="",0,IF($X$13=2,0,IF($E$10&lt;$Z$13,0,IF($W36&lt;$Y$13,0,VLOOKUP($T36,'3-1.標準報酬月額・保険料表'!$D$8:$J$57,7,FALSE)+ROUNDDOWN($V36*$AB$7,0)))))))</f>
        <v>0</v>
      </c>
      <c r="AA36" s="41">
        <f t="shared" si="21"/>
        <v>0</v>
      </c>
      <c r="AB36" s="46">
        <f>IF($E$4="",0,IF($AB$13="",0,IF($AB$13=1,0,IF($I36&lt;$AD$13,0,IF($N36&lt;$AC$13,0,IF($T36&lt;=620000,VLOOKUP($T36,'3-1.標準報酬月額・保険料表'!$D$8:$L$42,9,FALSE),'3-1.標準報酬月額・保険料表'!$L$42)+ROUNDDOWN($V36*$AD$7,0))))))</f>
        <v>0</v>
      </c>
      <c r="AC36" s="47">
        <f>IF($E$4="",0,IF($AB$13="",0,IF($AB$13=1,0,IF($I36&lt;$AD$13,0,IF($N36&lt;$AC$13,0,IF($E$10&gt;=$AE$13,0,VLOOKUP($T36,'3-1.標準報酬月額・保険料表'!$D$8:$J$57,6,FALSE)+ROUNDDOWN($V36*$AA$7,0)))))))</f>
        <v>0</v>
      </c>
      <c r="AD36" s="47">
        <f>IF($E$4="",0,IF($AB$13="",0,IF($AB$13=1,0,IF($I36&lt;$AD$13,0,IF($N36&lt;$AC$13,0,IF($E$10&lt;$AE$13,0,VLOOKUP($T36,'3-1.標準報酬月額・保険料表'!$D$8:$J$57,7,FALSE)+ROUNDDOWN($V36*$AB$7,0)))))))</f>
        <v>0</v>
      </c>
      <c r="AE36" s="48">
        <f t="shared" si="22"/>
        <v>0</v>
      </c>
      <c r="AF36" s="38">
        <f t="shared" si="7"/>
        <v>0</v>
      </c>
      <c r="AG36" s="43">
        <f t="shared" si="23"/>
        <v>0</v>
      </c>
      <c r="AH36" s="127">
        <f>IF($E$4="","",VLOOKUP($N36,'3-2.所得算出参照表'!K$5:L$10,2,TRUE))</f>
        <v>1625000</v>
      </c>
      <c r="AI36" s="128">
        <f>IF($AH36="",0,IF($AH36='3-2.所得算出参照表'!$B$5,'3-2.所得算出参照表'!$E$5,IF('4-1.手当等支給メニュー'!$AH36='3-2.所得算出参照表'!$B$6,'4-1.手当等支給メニュー'!$N36*'3-2.所得算出参照表'!$E$6+'3-2.所得算出参照表'!$G$6,IF('4-1.手当等支給メニュー'!$AH36='3-2.所得算出参照表'!$B$7,'4-1.手当等支給メニュー'!$N36*'3-2.所得算出参照表'!$E$7+'3-2.所得算出参照表'!$G$7,IF('4-1.手当等支給メニュー'!$AH36='3-2.所得算出参照表'!$B$8,'4-1.手当等支給メニュー'!$N36*'3-2.所得算出参照表'!$E$8+'3-2.所得算出参照表'!$G$8,IF('4-1.手当等支給メニュー'!$AH36='3-2.所得算出参照表'!$B$9,'4-1.手当等支給メニュー'!$N36*'3-2.所得算出参照表'!$E$9+'3-2.所得算出参照表'!$G$9,IF($AH36='3-2.所得算出参照表'!$B$10,'3-2.所得算出参照表'!$G$10)))))))</f>
        <v>550000</v>
      </c>
      <c r="AJ36" s="90">
        <f t="shared" si="8"/>
        <v>480000</v>
      </c>
      <c r="AK36" s="85">
        <f t="shared" si="9"/>
        <v>0</v>
      </c>
      <c r="AL36" s="130">
        <f>VLOOKUP($AK36,'3-2.所得算出参照表'!$N$4:$O$11,2,TRUE)</f>
        <v>0</v>
      </c>
      <c r="AM36" s="85">
        <f>VLOOKUP($AK36,'3-2.所得算出参照表'!$P$4:$Q$11,2,TRUE)</f>
        <v>0</v>
      </c>
      <c r="AN36" s="85">
        <f t="shared" si="24"/>
        <v>0</v>
      </c>
      <c r="AO36" s="85">
        <f>$AN36*'3-2.所得算出参照表'!$D$14</f>
        <v>0</v>
      </c>
      <c r="AP36" s="99">
        <f t="shared" si="25"/>
        <v>0</v>
      </c>
      <c r="AQ36" s="107">
        <f>IF($AH36="",0,IF($AH36='3-2.所得算出参照表'!$B$5,'3-2.所得算出参照表'!$E$5,IF('4-1.手当等支給メニュー'!$AH36='3-2.所得算出参照表'!$B$6,'4-1.手当等支給メニュー'!$N36*'3-2.所得算出参照表'!$E$6+'3-2.所得算出参照表'!$G$6,IF('4-1.手当等支給メニュー'!$AH36='3-2.所得算出参照表'!$B$7,'4-1.手当等支給メニュー'!$N36*'3-2.所得算出参照表'!$E$7+'3-2.所得算出参照表'!$G$7,IF('4-1.手当等支給メニュー'!$AH36='3-2.所得算出参照表'!$B$8,'4-1.手当等支給メニュー'!$N36*'3-2.所得算出参照表'!$E$8+'3-2.所得算出参照表'!$G$8,IF('4-1.手当等支給メニュー'!$AH36='3-2.所得算出参照表'!$B$9,'4-1.手当等支給メニュー'!$N36*'3-2.所得算出参照表'!$E$9+'3-2.所得算出参照表'!$G$9,IF($AH36='3-2.所得算出参照表'!$B$10,'3-2.所得算出参照表'!$G$10)))))))</f>
        <v>550000</v>
      </c>
      <c r="AR36" s="47">
        <f t="shared" si="10"/>
        <v>430000</v>
      </c>
      <c r="AS36" s="95">
        <f t="shared" si="11"/>
        <v>0</v>
      </c>
      <c r="AT36" s="95">
        <f t="shared" si="12"/>
        <v>0</v>
      </c>
      <c r="AU36" s="96">
        <f t="shared" si="13"/>
        <v>0</v>
      </c>
      <c r="AV36" s="103">
        <f t="shared" si="26"/>
        <v>0</v>
      </c>
      <c r="AW36" s="120">
        <f t="shared" si="14"/>
        <v>0</v>
      </c>
    </row>
    <row r="37" spans="2:49" ht="21.95" customHeight="1" x14ac:dyDescent="0.15">
      <c r="B37" s="76">
        <v>23</v>
      </c>
      <c r="C37" s="78" t="str">
        <f t="shared" si="0"/>
        <v/>
      </c>
      <c r="D37" s="438" t="str">
        <f t="shared" si="1"/>
        <v/>
      </c>
      <c r="E37" s="452">
        <f>IF($E$4="","",IF(AND($I37&gt;=20,$D37=88,'4-1.参照シートー２'!$R37&lt;=104000),($P37+$V37)*$G$12,0))</f>
        <v>0</v>
      </c>
      <c r="F37" s="495">
        <f>IF('4-1.参照シートー２'!$G37="","",'4-1.参照シートー２'!$G37)</f>
        <v>0</v>
      </c>
      <c r="G37" s="453">
        <f>IF($E$4="","",IF(AND($I37&gt;=20,$D37=88,$R37&gt;104000),('4-1.参照シートー２'!$R37+$V37)*$G$12,0))</f>
        <v>0</v>
      </c>
      <c r="H37" s="431" t="str">
        <f t="shared" si="27"/>
        <v/>
      </c>
      <c r="I37" s="60" t="str">
        <f t="shared" si="28"/>
        <v/>
      </c>
      <c r="J37" s="174" t="str">
        <f t="shared" si="2"/>
        <v/>
      </c>
      <c r="K37" s="361">
        <f t="shared" si="15"/>
        <v>0</v>
      </c>
      <c r="L37" s="174">
        <f t="shared" si="16"/>
        <v>0</v>
      </c>
      <c r="M37" s="442">
        <f t="shared" si="17"/>
        <v>0</v>
      </c>
      <c r="N37" s="73">
        <f t="shared" si="18"/>
        <v>0</v>
      </c>
      <c r="O37" s="509">
        <f t="shared" si="19"/>
        <v>0</v>
      </c>
      <c r="P37" s="506">
        <f>IF($E$4="",0,IF($O37=0,0,VLOOKUP($O37,'3-1.標準報酬月額・保険料表'!$N$8:$O$57,2,TRUE)))</f>
        <v>0</v>
      </c>
      <c r="Q37" s="507">
        <f t="shared" si="3"/>
        <v>0</v>
      </c>
      <c r="R37" s="510">
        <f>IF($E$4="",0,IF($Q37=0,0,VLOOKUP($Q37,'3-1.標準報酬月額・保険料表'!$N$8:$O$57,2,TRUE)))</f>
        <v>0</v>
      </c>
      <c r="S37" s="359">
        <f t="shared" si="20"/>
        <v>0</v>
      </c>
      <c r="T37" s="458">
        <f>IF($E$4="",0,IF($S37=0,0,VLOOKUP($S37,'3-1.標準報酬月額・保険料表'!$N$8:$O$57,2,TRUE)))</f>
        <v>0</v>
      </c>
      <c r="U37" s="457">
        <f t="shared" si="4"/>
        <v>0</v>
      </c>
      <c r="V37" s="445">
        <f t="shared" si="5"/>
        <v>0</v>
      </c>
      <c r="W37" s="163">
        <f t="shared" si="6"/>
        <v>0</v>
      </c>
      <c r="X37" s="36">
        <f>IF($E$4="",0,IF($I37&lt;20,0,IF($X$13="",0,IF($X$13=2,0,IF($W37&lt;$Y$13,0,IF($T37&lt;=620000,VLOOKUP($T37,'3-1.標準報酬月額・保険料表'!$D$8:$L$42,9,FALSE),'3-1.標準報酬月額・保険料表'!$L$42)+ROUNDDOWN($V37*$AD$7,0))))))</f>
        <v>0</v>
      </c>
      <c r="Y37" s="25">
        <f>IF($E$4="",0,IF($I37&lt;20,0,IF($U$9="",0,IF($X$13=2,0,IF($E$10&gt;=$Z$13,0,IF($W37&lt;$Y$13,0,VLOOKUP($T37,'3-1.標準報酬月額・保険料表'!$D$8:$J$57,6,FALSE)+ROUNDDOWN($V37*$AA$7,0)))))))</f>
        <v>0</v>
      </c>
      <c r="Z37" s="25">
        <f>IF($E$4="",0,IF($I37&lt;20,0,IF($X$13="",0,IF($X$13=2,0,IF($E$10&lt;$Z$13,0,IF($W37&lt;$Y$13,0,VLOOKUP($T37,'3-1.標準報酬月額・保険料表'!$D$8:$J$57,7,FALSE)+ROUNDDOWN($V37*$AB$7,0)))))))</f>
        <v>0</v>
      </c>
      <c r="AA37" s="41">
        <f t="shared" si="21"/>
        <v>0</v>
      </c>
      <c r="AB37" s="46">
        <f>IF($E$4="",0,IF($AB$13="",0,IF($AB$13=1,0,IF($I37&lt;$AD$13,0,IF($N37&lt;$AC$13,0,IF($T37&lt;=620000,VLOOKUP($T37,'3-1.標準報酬月額・保険料表'!$D$8:$L$42,9,FALSE),'3-1.標準報酬月額・保険料表'!$L$42)+ROUNDDOWN($V37*$AD$7,0))))))</f>
        <v>0</v>
      </c>
      <c r="AC37" s="47">
        <f>IF($E$4="",0,IF($AB$13="",0,IF($AB$13=1,0,IF($I37&lt;$AD$13,0,IF($N37&lt;$AC$13,0,IF($E$10&gt;=$AE$13,0,VLOOKUP($T37,'3-1.標準報酬月額・保険料表'!$D$8:$J$57,6,FALSE)+ROUNDDOWN($V37*$AA$7,0)))))))</f>
        <v>0</v>
      </c>
      <c r="AD37" s="47">
        <f>IF($E$4="",0,IF($AB$13="",0,IF($AB$13=1,0,IF($I37&lt;$AD$13,0,IF($N37&lt;$AC$13,0,IF($E$10&lt;$AE$13,0,VLOOKUP($T37,'3-1.標準報酬月額・保険料表'!$D$8:$J$57,7,FALSE)+ROUNDDOWN($V37*$AB$7,0)))))))</f>
        <v>0</v>
      </c>
      <c r="AE37" s="48">
        <f t="shared" si="22"/>
        <v>0</v>
      </c>
      <c r="AF37" s="38">
        <f t="shared" si="7"/>
        <v>0</v>
      </c>
      <c r="AG37" s="43">
        <f t="shared" si="23"/>
        <v>0</v>
      </c>
      <c r="AH37" s="127">
        <f>IF($E$4="","",VLOOKUP($N37,'3-2.所得算出参照表'!K$5:L$10,2,TRUE))</f>
        <v>1625000</v>
      </c>
      <c r="AI37" s="128">
        <f>IF($AH37="",0,IF($AH37='3-2.所得算出参照表'!$B$5,'3-2.所得算出参照表'!$E$5,IF('4-1.手当等支給メニュー'!$AH37='3-2.所得算出参照表'!$B$6,'4-1.手当等支給メニュー'!$N37*'3-2.所得算出参照表'!$E$6+'3-2.所得算出参照表'!$G$6,IF('4-1.手当等支給メニュー'!$AH37='3-2.所得算出参照表'!$B$7,'4-1.手当等支給メニュー'!$N37*'3-2.所得算出参照表'!$E$7+'3-2.所得算出参照表'!$G$7,IF('4-1.手当等支給メニュー'!$AH37='3-2.所得算出参照表'!$B$8,'4-1.手当等支給メニュー'!$N37*'3-2.所得算出参照表'!$E$8+'3-2.所得算出参照表'!$G$8,IF('4-1.手当等支給メニュー'!$AH37='3-2.所得算出参照表'!$B$9,'4-1.手当等支給メニュー'!$N37*'3-2.所得算出参照表'!$E$9+'3-2.所得算出参照表'!$G$9,IF($AH37='3-2.所得算出参照表'!$B$10,'3-2.所得算出参照表'!$G$10)))))))</f>
        <v>550000</v>
      </c>
      <c r="AJ37" s="90">
        <f t="shared" si="8"/>
        <v>480000</v>
      </c>
      <c r="AK37" s="85">
        <f t="shared" si="9"/>
        <v>0</v>
      </c>
      <c r="AL37" s="130">
        <f>VLOOKUP($AK37,'3-2.所得算出参照表'!$N$4:$O$11,2,TRUE)</f>
        <v>0</v>
      </c>
      <c r="AM37" s="85">
        <f>VLOOKUP($AK37,'3-2.所得算出参照表'!$P$4:$Q$11,2,TRUE)</f>
        <v>0</v>
      </c>
      <c r="AN37" s="85">
        <f t="shared" si="24"/>
        <v>0</v>
      </c>
      <c r="AO37" s="85">
        <f>$AN37*'3-2.所得算出参照表'!$D$14</f>
        <v>0</v>
      </c>
      <c r="AP37" s="99">
        <f t="shared" si="25"/>
        <v>0</v>
      </c>
      <c r="AQ37" s="107">
        <f>IF($AH37="",0,IF($AH37='3-2.所得算出参照表'!$B$5,'3-2.所得算出参照表'!$E$5,IF('4-1.手当等支給メニュー'!$AH37='3-2.所得算出参照表'!$B$6,'4-1.手当等支給メニュー'!$N37*'3-2.所得算出参照表'!$E$6+'3-2.所得算出参照表'!$G$6,IF('4-1.手当等支給メニュー'!$AH37='3-2.所得算出参照表'!$B$7,'4-1.手当等支給メニュー'!$N37*'3-2.所得算出参照表'!$E$7+'3-2.所得算出参照表'!$G$7,IF('4-1.手当等支給メニュー'!$AH37='3-2.所得算出参照表'!$B$8,'4-1.手当等支給メニュー'!$N37*'3-2.所得算出参照表'!$E$8+'3-2.所得算出参照表'!$G$8,IF('4-1.手当等支給メニュー'!$AH37='3-2.所得算出参照表'!$B$9,'4-1.手当等支給メニュー'!$N37*'3-2.所得算出参照表'!$E$9+'3-2.所得算出参照表'!$G$9,IF($AH37='3-2.所得算出参照表'!$B$10,'3-2.所得算出参照表'!$G$10)))))))</f>
        <v>550000</v>
      </c>
      <c r="AR37" s="47">
        <f t="shared" si="10"/>
        <v>430000</v>
      </c>
      <c r="AS37" s="95">
        <f t="shared" si="11"/>
        <v>0</v>
      </c>
      <c r="AT37" s="95">
        <f t="shared" si="12"/>
        <v>0</v>
      </c>
      <c r="AU37" s="96">
        <f t="shared" si="13"/>
        <v>0</v>
      </c>
      <c r="AV37" s="103">
        <f t="shared" si="26"/>
        <v>0</v>
      </c>
      <c r="AW37" s="120">
        <f t="shared" si="14"/>
        <v>0</v>
      </c>
    </row>
    <row r="38" spans="2:49" ht="21.95" customHeight="1" x14ac:dyDescent="0.15">
      <c r="B38" s="76">
        <v>24</v>
      </c>
      <c r="C38" s="78" t="str">
        <f t="shared" si="0"/>
        <v/>
      </c>
      <c r="D38" s="438" t="str">
        <f t="shared" si="1"/>
        <v/>
      </c>
      <c r="E38" s="452">
        <f>IF($E$4="","",IF(AND($I38&gt;=20,$D38=88,'4-1.参照シートー２'!$R38&lt;=104000),($P38+$V38)*$G$12,0))</f>
        <v>0</v>
      </c>
      <c r="F38" s="495">
        <f>IF('4-1.参照シートー２'!$G38="","",'4-1.参照シートー２'!$G38)</f>
        <v>0</v>
      </c>
      <c r="G38" s="453">
        <f>IF($E$4="","",IF(AND($I38&gt;=20,$D38=88,$R38&gt;104000),('4-1.参照シートー２'!$R38+$V38)*$G$12,0))</f>
        <v>0</v>
      </c>
      <c r="H38" s="431" t="str">
        <f t="shared" si="27"/>
        <v/>
      </c>
      <c r="I38" s="60" t="str">
        <f t="shared" si="28"/>
        <v/>
      </c>
      <c r="J38" s="174" t="str">
        <f t="shared" si="2"/>
        <v/>
      </c>
      <c r="K38" s="361">
        <f t="shared" si="15"/>
        <v>0</v>
      </c>
      <c r="L38" s="174">
        <f t="shared" si="16"/>
        <v>0</v>
      </c>
      <c r="M38" s="442">
        <f t="shared" si="17"/>
        <v>0</v>
      </c>
      <c r="N38" s="73">
        <f t="shared" si="18"/>
        <v>0</v>
      </c>
      <c r="O38" s="509">
        <f t="shared" si="19"/>
        <v>0</v>
      </c>
      <c r="P38" s="506">
        <f>IF($E$4="",0,IF($O38=0,0,VLOOKUP($O38,'3-1.標準報酬月額・保険料表'!$N$8:$O$57,2,TRUE)))</f>
        <v>0</v>
      </c>
      <c r="Q38" s="507">
        <f t="shared" si="3"/>
        <v>0</v>
      </c>
      <c r="R38" s="510">
        <f>IF($E$4="",0,IF($Q38=0,0,VLOOKUP($Q38,'3-1.標準報酬月額・保険料表'!$N$8:$O$57,2,TRUE)))</f>
        <v>0</v>
      </c>
      <c r="S38" s="359">
        <f t="shared" si="20"/>
        <v>0</v>
      </c>
      <c r="T38" s="458">
        <f>IF($E$4="",0,IF($S38=0,0,VLOOKUP($S38,'3-1.標準報酬月額・保険料表'!$N$8:$O$57,2,TRUE)))</f>
        <v>0</v>
      </c>
      <c r="U38" s="457">
        <f t="shared" si="4"/>
        <v>0</v>
      </c>
      <c r="V38" s="445">
        <f t="shared" si="5"/>
        <v>0</v>
      </c>
      <c r="W38" s="163">
        <f t="shared" si="6"/>
        <v>0</v>
      </c>
      <c r="X38" s="36">
        <f>IF($E$4="",0,IF($I38&lt;20,0,IF($X$13="",0,IF($X$13=2,0,IF($W38&lt;$Y$13,0,IF($T38&lt;=620000,VLOOKUP($T38,'3-1.標準報酬月額・保険料表'!$D$8:$L$42,9,FALSE),'3-1.標準報酬月額・保険料表'!$L$42)+ROUNDDOWN($V38*$AD$7,0))))))</f>
        <v>0</v>
      </c>
      <c r="Y38" s="25">
        <f>IF($E$4="",0,IF($I38&lt;20,0,IF($U$9="",0,IF($X$13=2,0,IF($E$10&gt;=$Z$13,0,IF($W38&lt;$Y$13,0,VLOOKUP($T38,'3-1.標準報酬月額・保険料表'!$D$8:$J$57,6,FALSE)+ROUNDDOWN($V38*$AA$7,0)))))))</f>
        <v>0</v>
      </c>
      <c r="Z38" s="25">
        <f>IF($E$4="",0,IF($I38&lt;20,0,IF($X$13="",0,IF($X$13=2,0,IF($E$10&lt;$Z$13,0,IF($W38&lt;$Y$13,0,VLOOKUP($T38,'3-1.標準報酬月額・保険料表'!$D$8:$J$57,7,FALSE)+ROUNDDOWN($V38*$AB$7,0)))))))</f>
        <v>0</v>
      </c>
      <c r="AA38" s="41">
        <f t="shared" si="21"/>
        <v>0</v>
      </c>
      <c r="AB38" s="46">
        <f>IF($E$4="",0,IF($AB$13="",0,IF($AB$13=1,0,IF($I38&lt;$AD$13,0,IF($N38&lt;$AC$13,0,IF($T38&lt;=620000,VLOOKUP($T38,'3-1.標準報酬月額・保険料表'!$D$8:$L$42,9,FALSE),'3-1.標準報酬月額・保険料表'!$L$42)+ROUNDDOWN($V38*$AD$7,0))))))</f>
        <v>0</v>
      </c>
      <c r="AC38" s="47">
        <f>IF($E$4="",0,IF($AB$13="",0,IF($AB$13=1,0,IF($I38&lt;$AD$13,0,IF($N38&lt;$AC$13,0,IF($E$10&gt;=$AE$13,0,VLOOKUP($T38,'3-1.標準報酬月額・保険料表'!$D$8:$J$57,6,FALSE)+ROUNDDOWN($V38*$AA$7,0)))))))</f>
        <v>0</v>
      </c>
      <c r="AD38" s="47">
        <f>IF($E$4="",0,IF($AB$13="",0,IF($AB$13=1,0,IF($I38&lt;$AD$13,0,IF($N38&lt;$AC$13,0,IF($E$10&lt;$AE$13,0,VLOOKUP($T38,'3-1.標準報酬月額・保険料表'!$D$8:$J$57,7,FALSE)+ROUNDDOWN($V38*$AB$7,0)))))))</f>
        <v>0</v>
      </c>
      <c r="AE38" s="48">
        <f t="shared" si="22"/>
        <v>0</v>
      </c>
      <c r="AF38" s="38">
        <f t="shared" si="7"/>
        <v>0</v>
      </c>
      <c r="AG38" s="43">
        <f t="shared" si="23"/>
        <v>0</v>
      </c>
      <c r="AH38" s="127">
        <f>IF($E$4="","",VLOOKUP($N38,'3-2.所得算出参照表'!K$5:L$10,2,TRUE))</f>
        <v>1625000</v>
      </c>
      <c r="AI38" s="128">
        <f>IF($AH38="",0,IF($AH38='3-2.所得算出参照表'!$B$5,'3-2.所得算出参照表'!$E$5,IF('4-1.手当等支給メニュー'!$AH38='3-2.所得算出参照表'!$B$6,'4-1.手当等支給メニュー'!$N38*'3-2.所得算出参照表'!$E$6+'3-2.所得算出参照表'!$G$6,IF('4-1.手当等支給メニュー'!$AH38='3-2.所得算出参照表'!$B$7,'4-1.手当等支給メニュー'!$N38*'3-2.所得算出参照表'!$E$7+'3-2.所得算出参照表'!$G$7,IF('4-1.手当等支給メニュー'!$AH38='3-2.所得算出参照表'!$B$8,'4-1.手当等支給メニュー'!$N38*'3-2.所得算出参照表'!$E$8+'3-2.所得算出参照表'!$G$8,IF('4-1.手当等支給メニュー'!$AH38='3-2.所得算出参照表'!$B$9,'4-1.手当等支給メニュー'!$N38*'3-2.所得算出参照表'!$E$9+'3-2.所得算出参照表'!$G$9,IF($AH38='3-2.所得算出参照表'!$B$10,'3-2.所得算出参照表'!$G$10)))))))</f>
        <v>550000</v>
      </c>
      <c r="AJ38" s="90">
        <f t="shared" si="8"/>
        <v>480000</v>
      </c>
      <c r="AK38" s="85">
        <f t="shared" si="9"/>
        <v>0</v>
      </c>
      <c r="AL38" s="130">
        <f>VLOOKUP($AK38,'3-2.所得算出参照表'!$N$4:$O$11,2,TRUE)</f>
        <v>0</v>
      </c>
      <c r="AM38" s="85">
        <f>VLOOKUP($AK38,'3-2.所得算出参照表'!$P$4:$Q$11,2,TRUE)</f>
        <v>0</v>
      </c>
      <c r="AN38" s="85">
        <f t="shared" si="24"/>
        <v>0</v>
      </c>
      <c r="AO38" s="85">
        <f>$AN38*'3-2.所得算出参照表'!$D$14</f>
        <v>0</v>
      </c>
      <c r="AP38" s="99">
        <f t="shared" si="25"/>
        <v>0</v>
      </c>
      <c r="AQ38" s="107">
        <f>IF($AH38="",0,IF($AH38='3-2.所得算出参照表'!$B$5,'3-2.所得算出参照表'!$E$5,IF('4-1.手当等支給メニュー'!$AH38='3-2.所得算出参照表'!$B$6,'4-1.手当等支給メニュー'!$N38*'3-2.所得算出参照表'!$E$6+'3-2.所得算出参照表'!$G$6,IF('4-1.手当等支給メニュー'!$AH38='3-2.所得算出参照表'!$B$7,'4-1.手当等支給メニュー'!$N38*'3-2.所得算出参照表'!$E$7+'3-2.所得算出参照表'!$G$7,IF('4-1.手当等支給メニュー'!$AH38='3-2.所得算出参照表'!$B$8,'4-1.手当等支給メニュー'!$N38*'3-2.所得算出参照表'!$E$8+'3-2.所得算出参照表'!$G$8,IF('4-1.手当等支給メニュー'!$AH38='3-2.所得算出参照表'!$B$9,'4-1.手当等支給メニュー'!$N38*'3-2.所得算出参照表'!$E$9+'3-2.所得算出参照表'!$G$9,IF($AH38='3-2.所得算出参照表'!$B$10,'3-2.所得算出参照表'!$G$10)))))))</f>
        <v>550000</v>
      </c>
      <c r="AR38" s="47">
        <f t="shared" si="10"/>
        <v>430000</v>
      </c>
      <c r="AS38" s="95">
        <f t="shared" si="11"/>
        <v>0</v>
      </c>
      <c r="AT38" s="95">
        <f t="shared" si="12"/>
        <v>0</v>
      </c>
      <c r="AU38" s="96">
        <f t="shared" si="13"/>
        <v>0</v>
      </c>
      <c r="AV38" s="103">
        <f t="shared" si="26"/>
        <v>0</v>
      </c>
      <c r="AW38" s="120">
        <f t="shared" si="14"/>
        <v>0</v>
      </c>
    </row>
    <row r="39" spans="2:49" ht="21.95" customHeight="1" x14ac:dyDescent="0.15">
      <c r="B39" s="76">
        <v>25</v>
      </c>
      <c r="C39" s="78" t="str">
        <f t="shared" si="0"/>
        <v/>
      </c>
      <c r="D39" s="438" t="str">
        <f t="shared" si="1"/>
        <v/>
      </c>
      <c r="E39" s="452">
        <f>IF($E$4="","",IF(AND($I39&gt;=20,$D39=88,'4-1.参照シートー２'!$R39&lt;=104000),($P39+$V39)*$G$12,0))</f>
        <v>0</v>
      </c>
      <c r="F39" s="495">
        <f>IF('4-1.参照シートー２'!$G39="","",'4-1.参照シートー２'!$G39)</f>
        <v>0</v>
      </c>
      <c r="G39" s="453">
        <f>IF($E$4="","",IF(AND($I39&gt;=20,$D39=88,$R39&gt;104000),('4-1.参照シートー２'!$R39+$V39)*$G$12,0))</f>
        <v>0</v>
      </c>
      <c r="H39" s="431" t="str">
        <f t="shared" si="27"/>
        <v/>
      </c>
      <c r="I39" s="60" t="str">
        <f t="shared" si="28"/>
        <v/>
      </c>
      <c r="J39" s="174" t="str">
        <f t="shared" si="2"/>
        <v/>
      </c>
      <c r="K39" s="361">
        <f t="shared" si="15"/>
        <v>0</v>
      </c>
      <c r="L39" s="174">
        <f t="shared" si="16"/>
        <v>0</v>
      </c>
      <c r="M39" s="442">
        <f t="shared" si="17"/>
        <v>0</v>
      </c>
      <c r="N39" s="73">
        <f t="shared" si="18"/>
        <v>0</v>
      </c>
      <c r="O39" s="509">
        <f t="shared" si="19"/>
        <v>0</v>
      </c>
      <c r="P39" s="506">
        <f>IF($E$4="",0,IF($O39=0,0,VLOOKUP($O39,'3-1.標準報酬月額・保険料表'!$N$8:$O$57,2,TRUE)))</f>
        <v>0</v>
      </c>
      <c r="Q39" s="507">
        <f t="shared" si="3"/>
        <v>0</v>
      </c>
      <c r="R39" s="510">
        <f>IF($E$4="",0,IF($Q39=0,0,VLOOKUP($Q39,'3-1.標準報酬月額・保険料表'!$N$8:$O$57,2,TRUE)))</f>
        <v>0</v>
      </c>
      <c r="S39" s="359">
        <f t="shared" si="20"/>
        <v>0</v>
      </c>
      <c r="T39" s="458">
        <f>IF($E$4="",0,IF($S39=0,0,VLOOKUP($S39,'3-1.標準報酬月額・保険料表'!$N$8:$O$57,2,TRUE)))</f>
        <v>0</v>
      </c>
      <c r="U39" s="457">
        <f t="shared" si="4"/>
        <v>0</v>
      </c>
      <c r="V39" s="445">
        <f t="shared" si="5"/>
        <v>0</v>
      </c>
      <c r="W39" s="163">
        <f t="shared" si="6"/>
        <v>0</v>
      </c>
      <c r="X39" s="36">
        <f>IF($E$4="",0,IF($I39&lt;20,0,IF($X$13="",0,IF($X$13=2,0,IF($W39&lt;$Y$13,0,IF($T39&lt;=620000,VLOOKUP($T39,'3-1.標準報酬月額・保険料表'!$D$8:$L$42,9,FALSE),'3-1.標準報酬月額・保険料表'!$L$42)+ROUNDDOWN($V39*$AD$7,0))))))</f>
        <v>0</v>
      </c>
      <c r="Y39" s="25">
        <f>IF($E$4="",0,IF($I39&lt;20,0,IF($U$9="",0,IF($X$13=2,0,IF($E$10&gt;=$Z$13,0,IF($W39&lt;$Y$13,0,VLOOKUP($T39,'3-1.標準報酬月額・保険料表'!$D$8:$J$57,6,FALSE)+ROUNDDOWN($V39*$AA$7,0)))))))</f>
        <v>0</v>
      </c>
      <c r="Z39" s="25">
        <f>IF($E$4="",0,IF($I39&lt;20,0,IF($X$13="",0,IF($X$13=2,0,IF($E$10&lt;$Z$13,0,IF($W39&lt;$Y$13,0,VLOOKUP($T39,'3-1.標準報酬月額・保険料表'!$D$8:$J$57,7,FALSE)+ROUNDDOWN($V39*$AB$7,0)))))))</f>
        <v>0</v>
      </c>
      <c r="AA39" s="41">
        <f t="shared" si="21"/>
        <v>0</v>
      </c>
      <c r="AB39" s="46">
        <f>IF($E$4="",0,IF($AB$13="",0,IF($AB$13=1,0,IF($I39&lt;$AD$13,0,IF($N39&lt;$AC$13,0,IF($T39&lt;=620000,VLOOKUP($T39,'3-1.標準報酬月額・保険料表'!$D$8:$L$42,9,FALSE),'3-1.標準報酬月額・保険料表'!$L$42)+ROUNDDOWN($V39*$AD$7,0))))))</f>
        <v>0</v>
      </c>
      <c r="AC39" s="47">
        <f>IF($E$4="",0,IF($AB$13="",0,IF($AB$13=1,0,IF($I39&lt;$AD$13,0,IF($N39&lt;$AC$13,0,IF($E$10&gt;=$AE$13,0,VLOOKUP($T39,'3-1.標準報酬月額・保険料表'!$D$8:$J$57,6,FALSE)+ROUNDDOWN($V39*$AA$7,0)))))))</f>
        <v>0</v>
      </c>
      <c r="AD39" s="47">
        <f>IF($E$4="",0,IF($AB$13="",0,IF($AB$13=1,0,IF($I39&lt;$AD$13,0,IF($N39&lt;$AC$13,0,IF($E$10&lt;$AE$13,0,VLOOKUP($T39,'3-1.標準報酬月額・保険料表'!$D$8:$J$57,7,FALSE)+ROUNDDOWN($V39*$AB$7,0)))))))</f>
        <v>0</v>
      </c>
      <c r="AE39" s="48">
        <f t="shared" si="22"/>
        <v>0</v>
      </c>
      <c r="AF39" s="38">
        <f t="shared" si="7"/>
        <v>0</v>
      </c>
      <c r="AG39" s="43">
        <f t="shared" si="23"/>
        <v>0</v>
      </c>
      <c r="AH39" s="127">
        <f>IF($E$4="","",VLOOKUP($N39,'3-2.所得算出参照表'!K$5:L$10,2,TRUE))</f>
        <v>1625000</v>
      </c>
      <c r="AI39" s="128">
        <f>IF($AH39="",0,IF($AH39='3-2.所得算出参照表'!$B$5,'3-2.所得算出参照表'!$E$5,IF('4-1.手当等支給メニュー'!$AH39='3-2.所得算出参照表'!$B$6,'4-1.手当等支給メニュー'!$N39*'3-2.所得算出参照表'!$E$6+'3-2.所得算出参照表'!$G$6,IF('4-1.手当等支給メニュー'!$AH39='3-2.所得算出参照表'!$B$7,'4-1.手当等支給メニュー'!$N39*'3-2.所得算出参照表'!$E$7+'3-2.所得算出参照表'!$G$7,IF('4-1.手当等支給メニュー'!$AH39='3-2.所得算出参照表'!$B$8,'4-1.手当等支給メニュー'!$N39*'3-2.所得算出参照表'!$E$8+'3-2.所得算出参照表'!$G$8,IF('4-1.手当等支給メニュー'!$AH39='3-2.所得算出参照表'!$B$9,'4-1.手当等支給メニュー'!$N39*'3-2.所得算出参照表'!$E$9+'3-2.所得算出参照表'!$G$9,IF($AH39='3-2.所得算出参照表'!$B$10,'3-2.所得算出参照表'!$G$10)))))))</f>
        <v>550000</v>
      </c>
      <c r="AJ39" s="90">
        <f t="shared" si="8"/>
        <v>480000</v>
      </c>
      <c r="AK39" s="85">
        <f t="shared" si="9"/>
        <v>0</v>
      </c>
      <c r="AL39" s="130">
        <f>VLOOKUP($AK39,'3-2.所得算出参照表'!$N$4:$O$11,2,TRUE)</f>
        <v>0</v>
      </c>
      <c r="AM39" s="85">
        <f>VLOOKUP($AK39,'3-2.所得算出参照表'!$P$4:$Q$11,2,TRUE)</f>
        <v>0</v>
      </c>
      <c r="AN39" s="85">
        <f t="shared" si="24"/>
        <v>0</v>
      </c>
      <c r="AO39" s="85">
        <f>$AN39*'3-2.所得算出参照表'!$D$14</f>
        <v>0</v>
      </c>
      <c r="AP39" s="99">
        <f t="shared" si="25"/>
        <v>0</v>
      </c>
      <c r="AQ39" s="107">
        <f>IF($AH39="",0,IF($AH39='3-2.所得算出参照表'!$B$5,'3-2.所得算出参照表'!$E$5,IF('4-1.手当等支給メニュー'!$AH39='3-2.所得算出参照表'!$B$6,'4-1.手当等支給メニュー'!$N39*'3-2.所得算出参照表'!$E$6+'3-2.所得算出参照表'!$G$6,IF('4-1.手当等支給メニュー'!$AH39='3-2.所得算出参照表'!$B$7,'4-1.手当等支給メニュー'!$N39*'3-2.所得算出参照表'!$E$7+'3-2.所得算出参照表'!$G$7,IF('4-1.手当等支給メニュー'!$AH39='3-2.所得算出参照表'!$B$8,'4-1.手当等支給メニュー'!$N39*'3-2.所得算出参照表'!$E$8+'3-2.所得算出参照表'!$G$8,IF('4-1.手当等支給メニュー'!$AH39='3-2.所得算出参照表'!$B$9,'4-1.手当等支給メニュー'!$N39*'3-2.所得算出参照表'!$E$9+'3-2.所得算出参照表'!$G$9,IF($AH39='3-2.所得算出参照表'!$B$10,'3-2.所得算出参照表'!$G$10)))))))</f>
        <v>550000</v>
      </c>
      <c r="AR39" s="47">
        <f t="shared" si="10"/>
        <v>430000</v>
      </c>
      <c r="AS39" s="95">
        <f t="shared" si="11"/>
        <v>0</v>
      </c>
      <c r="AT39" s="95">
        <f t="shared" si="12"/>
        <v>0</v>
      </c>
      <c r="AU39" s="96">
        <f t="shared" si="13"/>
        <v>0</v>
      </c>
      <c r="AV39" s="103">
        <f t="shared" si="26"/>
        <v>0</v>
      </c>
      <c r="AW39" s="120">
        <f t="shared" si="14"/>
        <v>0</v>
      </c>
    </row>
    <row r="40" spans="2:49" ht="21.95" customHeight="1" x14ac:dyDescent="0.15">
      <c r="B40" s="76">
        <v>26</v>
      </c>
      <c r="C40" s="78" t="str">
        <f t="shared" si="0"/>
        <v/>
      </c>
      <c r="D40" s="438" t="str">
        <f t="shared" si="1"/>
        <v/>
      </c>
      <c r="E40" s="452">
        <f>IF($E$4="","",IF(AND($I40&gt;=20,$D40=88,'4-1.参照シートー２'!$R40&lt;=104000),($P40+$V40)*$G$12,0))</f>
        <v>0</v>
      </c>
      <c r="F40" s="495">
        <f>IF('4-1.参照シートー２'!$G40="","",'4-1.参照シートー２'!$G40)</f>
        <v>0</v>
      </c>
      <c r="G40" s="453">
        <f>IF($E$4="","",IF(AND($I40&gt;=20,$D40=88,$R40&gt;104000),('4-1.参照シートー２'!$R40+$V40)*$G$12,0))</f>
        <v>0</v>
      </c>
      <c r="H40" s="431" t="str">
        <f t="shared" si="27"/>
        <v/>
      </c>
      <c r="I40" s="60" t="str">
        <f t="shared" si="28"/>
        <v/>
      </c>
      <c r="J40" s="174" t="str">
        <f t="shared" si="2"/>
        <v/>
      </c>
      <c r="K40" s="361">
        <f t="shared" si="15"/>
        <v>0</v>
      </c>
      <c r="L40" s="174">
        <f t="shared" si="16"/>
        <v>0</v>
      </c>
      <c r="M40" s="442">
        <f t="shared" si="17"/>
        <v>0</v>
      </c>
      <c r="N40" s="73">
        <f t="shared" si="18"/>
        <v>0</v>
      </c>
      <c r="O40" s="509">
        <f t="shared" si="19"/>
        <v>0</v>
      </c>
      <c r="P40" s="506">
        <f>IF($E$4="",0,IF($O40=0,0,VLOOKUP($O40,'3-1.標準報酬月額・保険料表'!$N$8:$O$57,2,TRUE)))</f>
        <v>0</v>
      </c>
      <c r="Q40" s="507">
        <f t="shared" si="3"/>
        <v>0</v>
      </c>
      <c r="R40" s="510">
        <f>IF($E$4="",0,IF($Q40=0,0,VLOOKUP($Q40,'3-1.標準報酬月額・保険料表'!$N$8:$O$57,2,TRUE)))</f>
        <v>0</v>
      </c>
      <c r="S40" s="359">
        <f t="shared" si="20"/>
        <v>0</v>
      </c>
      <c r="T40" s="458">
        <f>IF($E$4="",0,IF($S40=0,0,VLOOKUP($S40,'3-1.標準報酬月額・保険料表'!$N$8:$O$57,2,TRUE)))</f>
        <v>0</v>
      </c>
      <c r="U40" s="457">
        <f t="shared" si="4"/>
        <v>0</v>
      </c>
      <c r="V40" s="445">
        <f t="shared" si="5"/>
        <v>0</v>
      </c>
      <c r="W40" s="163">
        <f t="shared" si="6"/>
        <v>0</v>
      </c>
      <c r="X40" s="36">
        <f>IF($E$4="",0,IF($I40&lt;20,0,IF($X$13="",0,IF($X$13=2,0,IF($W40&lt;$Y$13,0,IF($T40&lt;=620000,VLOOKUP($T40,'3-1.標準報酬月額・保険料表'!$D$8:$L$42,9,FALSE),'3-1.標準報酬月額・保険料表'!$L$42)+ROUNDDOWN($V40*$AD$7,0))))))</f>
        <v>0</v>
      </c>
      <c r="Y40" s="25">
        <f>IF($E$4="",0,IF($I40&lt;20,0,IF($U$9="",0,IF($X$13=2,0,IF($E$10&gt;=$Z$13,0,IF($W40&lt;$Y$13,0,VLOOKUP($T40,'3-1.標準報酬月額・保険料表'!$D$8:$J$57,6,FALSE)+ROUNDDOWN($V40*$AA$7,0)))))))</f>
        <v>0</v>
      </c>
      <c r="Z40" s="25">
        <f>IF($E$4="",0,IF($I40&lt;20,0,IF($X$13="",0,IF($X$13=2,0,IF($E$10&lt;$Z$13,0,IF($W40&lt;$Y$13,0,VLOOKUP($T40,'3-1.標準報酬月額・保険料表'!$D$8:$J$57,7,FALSE)+ROUNDDOWN($V40*$AB$7,0)))))))</f>
        <v>0</v>
      </c>
      <c r="AA40" s="41">
        <f t="shared" si="21"/>
        <v>0</v>
      </c>
      <c r="AB40" s="46">
        <f>IF($E$4="",0,IF($AB$13="",0,IF($AB$13=1,0,IF($I40&lt;$AD$13,0,IF($N40&lt;$AC$13,0,IF($T40&lt;=620000,VLOOKUP($T40,'3-1.標準報酬月額・保険料表'!$D$8:$L$42,9,FALSE),'3-1.標準報酬月額・保険料表'!$L$42)+ROUNDDOWN($V40*$AD$7,0))))))</f>
        <v>0</v>
      </c>
      <c r="AC40" s="47">
        <f>IF($E$4="",0,IF($AB$13="",0,IF($AB$13=1,0,IF($I40&lt;$AD$13,0,IF($N40&lt;$AC$13,0,IF($E$10&gt;=$AE$13,0,VLOOKUP($T40,'3-1.標準報酬月額・保険料表'!$D$8:$J$57,6,FALSE)+ROUNDDOWN($V40*$AA$7,0)))))))</f>
        <v>0</v>
      </c>
      <c r="AD40" s="47">
        <f>IF($E$4="",0,IF($AB$13="",0,IF($AB$13=1,0,IF($I40&lt;$AD$13,0,IF($N40&lt;$AC$13,0,IF($E$10&lt;$AE$13,0,VLOOKUP($T40,'3-1.標準報酬月額・保険料表'!$D$8:$J$57,7,FALSE)+ROUNDDOWN($V40*$AB$7,0)))))))</f>
        <v>0</v>
      </c>
      <c r="AE40" s="48">
        <f t="shared" si="22"/>
        <v>0</v>
      </c>
      <c r="AF40" s="38">
        <f t="shared" si="7"/>
        <v>0</v>
      </c>
      <c r="AG40" s="43">
        <f t="shared" si="23"/>
        <v>0</v>
      </c>
      <c r="AH40" s="127">
        <f>IF($E$4="","",VLOOKUP($N40,'3-2.所得算出参照表'!K$5:L$10,2,TRUE))</f>
        <v>1625000</v>
      </c>
      <c r="AI40" s="128">
        <f>IF($AH40="",0,IF($AH40='3-2.所得算出参照表'!$B$5,'3-2.所得算出参照表'!$E$5,IF('4-1.手当等支給メニュー'!$AH40='3-2.所得算出参照表'!$B$6,'4-1.手当等支給メニュー'!$N40*'3-2.所得算出参照表'!$E$6+'3-2.所得算出参照表'!$G$6,IF('4-1.手当等支給メニュー'!$AH40='3-2.所得算出参照表'!$B$7,'4-1.手当等支給メニュー'!$N40*'3-2.所得算出参照表'!$E$7+'3-2.所得算出参照表'!$G$7,IF('4-1.手当等支給メニュー'!$AH40='3-2.所得算出参照表'!$B$8,'4-1.手当等支給メニュー'!$N40*'3-2.所得算出参照表'!$E$8+'3-2.所得算出参照表'!$G$8,IF('4-1.手当等支給メニュー'!$AH40='3-2.所得算出参照表'!$B$9,'4-1.手当等支給メニュー'!$N40*'3-2.所得算出参照表'!$E$9+'3-2.所得算出参照表'!$G$9,IF($AH40='3-2.所得算出参照表'!$B$10,'3-2.所得算出参照表'!$G$10)))))))</f>
        <v>550000</v>
      </c>
      <c r="AJ40" s="90">
        <f t="shared" si="8"/>
        <v>480000</v>
      </c>
      <c r="AK40" s="85">
        <f t="shared" si="9"/>
        <v>0</v>
      </c>
      <c r="AL40" s="130">
        <f>VLOOKUP($AK40,'3-2.所得算出参照表'!$N$4:$O$11,2,TRUE)</f>
        <v>0</v>
      </c>
      <c r="AM40" s="85">
        <f>VLOOKUP($AK40,'3-2.所得算出参照表'!$P$4:$Q$11,2,TRUE)</f>
        <v>0</v>
      </c>
      <c r="AN40" s="85">
        <f t="shared" si="24"/>
        <v>0</v>
      </c>
      <c r="AO40" s="85">
        <f>$AN40*'3-2.所得算出参照表'!$D$14</f>
        <v>0</v>
      </c>
      <c r="AP40" s="99">
        <f t="shared" si="25"/>
        <v>0</v>
      </c>
      <c r="AQ40" s="107">
        <f>IF($AH40="",0,IF($AH40='3-2.所得算出参照表'!$B$5,'3-2.所得算出参照表'!$E$5,IF('4-1.手当等支給メニュー'!$AH40='3-2.所得算出参照表'!$B$6,'4-1.手当等支給メニュー'!$N40*'3-2.所得算出参照表'!$E$6+'3-2.所得算出参照表'!$G$6,IF('4-1.手当等支給メニュー'!$AH40='3-2.所得算出参照表'!$B$7,'4-1.手当等支給メニュー'!$N40*'3-2.所得算出参照表'!$E$7+'3-2.所得算出参照表'!$G$7,IF('4-1.手当等支給メニュー'!$AH40='3-2.所得算出参照表'!$B$8,'4-1.手当等支給メニュー'!$N40*'3-2.所得算出参照表'!$E$8+'3-2.所得算出参照表'!$G$8,IF('4-1.手当等支給メニュー'!$AH40='3-2.所得算出参照表'!$B$9,'4-1.手当等支給メニュー'!$N40*'3-2.所得算出参照表'!$E$9+'3-2.所得算出参照表'!$G$9,IF($AH40='3-2.所得算出参照表'!$B$10,'3-2.所得算出参照表'!$G$10)))))))</f>
        <v>550000</v>
      </c>
      <c r="AR40" s="47">
        <f t="shared" si="10"/>
        <v>430000</v>
      </c>
      <c r="AS40" s="95">
        <f t="shared" si="11"/>
        <v>0</v>
      </c>
      <c r="AT40" s="95">
        <f t="shared" si="12"/>
        <v>0</v>
      </c>
      <c r="AU40" s="96">
        <f t="shared" si="13"/>
        <v>0</v>
      </c>
      <c r="AV40" s="103">
        <f t="shared" si="26"/>
        <v>0</v>
      </c>
      <c r="AW40" s="120">
        <f t="shared" si="14"/>
        <v>0</v>
      </c>
    </row>
    <row r="41" spans="2:49" ht="21.95" customHeight="1" x14ac:dyDescent="0.15">
      <c r="B41" s="76">
        <v>27</v>
      </c>
      <c r="C41" s="78" t="str">
        <f t="shared" si="0"/>
        <v/>
      </c>
      <c r="D41" s="438" t="str">
        <f t="shared" si="1"/>
        <v/>
      </c>
      <c r="E41" s="452">
        <f>IF($E$4="","",IF(AND($I41&gt;=20,$D41=88,'4-1.参照シートー２'!$R41&lt;=104000),($P41+$V41)*$G$12,0))</f>
        <v>0</v>
      </c>
      <c r="F41" s="495">
        <f>IF('4-1.参照シートー２'!$G41="","",'4-1.参照シートー２'!$G41)</f>
        <v>0</v>
      </c>
      <c r="G41" s="453">
        <f>IF($E$4="","",IF(AND($I41&gt;=20,$D41=88,$R41&gt;104000),('4-1.参照シートー２'!$R41+$V41)*$G$12,0))</f>
        <v>0</v>
      </c>
      <c r="H41" s="431" t="str">
        <f t="shared" si="27"/>
        <v/>
      </c>
      <c r="I41" s="60" t="str">
        <f t="shared" si="28"/>
        <v/>
      </c>
      <c r="J41" s="174" t="str">
        <f t="shared" si="2"/>
        <v/>
      </c>
      <c r="K41" s="361">
        <f t="shared" si="15"/>
        <v>0</v>
      </c>
      <c r="L41" s="174">
        <f t="shared" si="16"/>
        <v>0</v>
      </c>
      <c r="M41" s="442">
        <f t="shared" si="17"/>
        <v>0</v>
      </c>
      <c r="N41" s="73">
        <f t="shared" si="18"/>
        <v>0</v>
      </c>
      <c r="O41" s="509">
        <f t="shared" si="19"/>
        <v>0</v>
      </c>
      <c r="P41" s="506">
        <f>IF($E$4="",0,IF($O41=0,0,VLOOKUP($O41,'3-1.標準報酬月額・保険料表'!$N$8:$O$57,2,TRUE)))</f>
        <v>0</v>
      </c>
      <c r="Q41" s="507">
        <f t="shared" si="3"/>
        <v>0</v>
      </c>
      <c r="R41" s="510">
        <f>IF($E$4="",0,IF($Q41=0,0,VLOOKUP($Q41,'3-1.標準報酬月額・保険料表'!$N$8:$O$57,2,TRUE)))</f>
        <v>0</v>
      </c>
      <c r="S41" s="359">
        <f t="shared" si="20"/>
        <v>0</v>
      </c>
      <c r="T41" s="458">
        <f>IF($E$4="",0,IF($S41=0,0,VLOOKUP($S41,'3-1.標準報酬月額・保険料表'!$N$8:$O$57,2,TRUE)))</f>
        <v>0</v>
      </c>
      <c r="U41" s="457">
        <f t="shared" si="4"/>
        <v>0</v>
      </c>
      <c r="V41" s="445">
        <f t="shared" si="5"/>
        <v>0</v>
      </c>
      <c r="W41" s="163">
        <f t="shared" si="6"/>
        <v>0</v>
      </c>
      <c r="X41" s="36">
        <f>IF($E$4="",0,IF($I41&lt;20,0,IF($X$13="",0,IF($X$13=2,0,IF($W41&lt;$Y$13,0,IF($T41&lt;=620000,VLOOKUP($T41,'3-1.標準報酬月額・保険料表'!$D$8:$L$42,9,FALSE),'3-1.標準報酬月額・保険料表'!$L$42)+ROUNDDOWN($V41*$AD$7,0))))))</f>
        <v>0</v>
      </c>
      <c r="Y41" s="25">
        <f>IF($E$4="",0,IF($I41&lt;20,0,IF($U$9="",0,IF($X$13=2,0,IF($E$10&gt;=$Z$13,0,IF($W41&lt;$Y$13,0,VLOOKUP($T41,'3-1.標準報酬月額・保険料表'!$D$8:$J$57,6,FALSE)+ROUNDDOWN($V41*$AA$7,0)))))))</f>
        <v>0</v>
      </c>
      <c r="Z41" s="25">
        <f>IF($E$4="",0,IF($I41&lt;20,0,IF($X$13="",0,IF($X$13=2,0,IF($E$10&lt;$Z$13,0,IF($W41&lt;$Y$13,0,VLOOKUP($T41,'3-1.標準報酬月額・保険料表'!$D$8:$J$57,7,FALSE)+ROUNDDOWN($V41*$AB$7,0)))))))</f>
        <v>0</v>
      </c>
      <c r="AA41" s="41">
        <f t="shared" si="21"/>
        <v>0</v>
      </c>
      <c r="AB41" s="46">
        <f>IF($E$4="",0,IF($AB$13="",0,IF($AB$13=1,0,IF($I41&lt;$AD$13,0,IF($N41&lt;$AC$13,0,IF($T41&lt;=620000,VLOOKUP($T41,'3-1.標準報酬月額・保険料表'!$D$8:$L$42,9,FALSE),'3-1.標準報酬月額・保険料表'!$L$42)+ROUNDDOWN($V41*$AD$7,0))))))</f>
        <v>0</v>
      </c>
      <c r="AC41" s="47">
        <f>IF($E$4="",0,IF($AB$13="",0,IF($AB$13=1,0,IF($I41&lt;$AD$13,0,IF($N41&lt;$AC$13,0,IF($E$10&gt;=$AE$13,0,VLOOKUP($T41,'3-1.標準報酬月額・保険料表'!$D$8:$J$57,6,FALSE)+ROUNDDOWN($V41*$AA$7,0)))))))</f>
        <v>0</v>
      </c>
      <c r="AD41" s="47">
        <f>IF($E$4="",0,IF($AB$13="",0,IF($AB$13=1,0,IF($I41&lt;$AD$13,0,IF($N41&lt;$AC$13,0,IF($E$10&lt;$AE$13,0,VLOOKUP($T41,'3-1.標準報酬月額・保険料表'!$D$8:$J$57,7,FALSE)+ROUNDDOWN($V41*$AB$7,0)))))))</f>
        <v>0</v>
      </c>
      <c r="AE41" s="48">
        <f t="shared" si="22"/>
        <v>0</v>
      </c>
      <c r="AF41" s="38">
        <f t="shared" si="7"/>
        <v>0</v>
      </c>
      <c r="AG41" s="43">
        <f t="shared" si="23"/>
        <v>0</v>
      </c>
      <c r="AH41" s="127">
        <f>IF($E$4="","",VLOOKUP($N41,'3-2.所得算出参照表'!K$5:L$10,2,TRUE))</f>
        <v>1625000</v>
      </c>
      <c r="AI41" s="128">
        <f>IF($AH41="",0,IF($AH41='3-2.所得算出参照表'!$B$5,'3-2.所得算出参照表'!$E$5,IF('4-1.手当等支給メニュー'!$AH41='3-2.所得算出参照表'!$B$6,'4-1.手当等支給メニュー'!$N41*'3-2.所得算出参照表'!$E$6+'3-2.所得算出参照表'!$G$6,IF('4-1.手当等支給メニュー'!$AH41='3-2.所得算出参照表'!$B$7,'4-1.手当等支給メニュー'!$N41*'3-2.所得算出参照表'!$E$7+'3-2.所得算出参照表'!$G$7,IF('4-1.手当等支給メニュー'!$AH41='3-2.所得算出参照表'!$B$8,'4-1.手当等支給メニュー'!$N41*'3-2.所得算出参照表'!$E$8+'3-2.所得算出参照表'!$G$8,IF('4-1.手当等支給メニュー'!$AH41='3-2.所得算出参照表'!$B$9,'4-1.手当等支給メニュー'!$N41*'3-2.所得算出参照表'!$E$9+'3-2.所得算出参照表'!$G$9,IF($AH41='3-2.所得算出参照表'!$B$10,'3-2.所得算出参照表'!$G$10)))))))</f>
        <v>550000</v>
      </c>
      <c r="AJ41" s="90">
        <f t="shared" si="8"/>
        <v>480000</v>
      </c>
      <c r="AK41" s="85">
        <f t="shared" si="9"/>
        <v>0</v>
      </c>
      <c r="AL41" s="130">
        <f>VLOOKUP($AK41,'3-2.所得算出参照表'!$N$4:$O$11,2,TRUE)</f>
        <v>0</v>
      </c>
      <c r="AM41" s="85">
        <f>VLOOKUP($AK41,'3-2.所得算出参照表'!$P$4:$Q$11,2,TRUE)</f>
        <v>0</v>
      </c>
      <c r="AN41" s="85">
        <f t="shared" si="24"/>
        <v>0</v>
      </c>
      <c r="AO41" s="85">
        <f>$AN41*'3-2.所得算出参照表'!$D$14</f>
        <v>0</v>
      </c>
      <c r="AP41" s="99">
        <f t="shared" si="25"/>
        <v>0</v>
      </c>
      <c r="AQ41" s="107">
        <f>IF($AH41="",0,IF($AH41='3-2.所得算出参照表'!$B$5,'3-2.所得算出参照表'!$E$5,IF('4-1.手当等支給メニュー'!$AH41='3-2.所得算出参照表'!$B$6,'4-1.手当等支給メニュー'!$N41*'3-2.所得算出参照表'!$E$6+'3-2.所得算出参照表'!$G$6,IF('4-1.手当等支給メニュー'!$AH41='3-2.所得算出参照表'!$B$7,'4-1.手当等支給メニュー'!$N41*'3-2.所得算出参照表'!$E$7+'3-2.所得算出参照表'!$G$7,IF('4-1.手当等支給メニュー'!$AH41='3-2.所得算出参照表'!$B$8,'4-1.手当等支給メニュー'!$N41*'3-2.所得算出参照表'!$E$8+'3-2.所得算出参照表'!$G$8,IF('4-1.手当等支給メニュー'!$AH41='3-2.所得算出参照表'!$B$9,'4-1.手当等支給メニュー'!$N41*'3-2.所得算出参照表'!$E$9+'3-2.所得算出参照表'!$G$9,IF($AH41='3-2.所得算出参照表'!$B$10,'3-2.所得算出参照表'!$G$10)))))))</f>
        <v>550000</v>
      </c>
      <c r="AR41" s="47">
        <f t="shared" si="10"/>
        <v>430000</v>
      </c>
      <c r="AS41" s="95">
        <f t="shared" si="11"/>
        <v>0</v>
      </c>
      <c r="AT41" s="95">
        <f t="shared" si="12"/>
        <v>0</v>
      </c>
      <c r="AU41" s="96">
        <f t="shared" si="13"/>
        <v>0</v>
      </c>
      <c r="AV41" s="103">
        <f t="shared" si="26"/>
        <v>0</v>
      </c>
      <c r="AW41" s="120">
        <f t="shared" si="14"/>
        <v>0</v>
      </c>
    </row>
    <row r="42" spans="2:49" ht="21.95" customHeight="1" x14ac:dyDescent="0.15">
      <c r="B42" s="76">
        <v>28</v>
      </c>
      <c r="C42" s="78" t="str">
        <f t="shared" si="0"/>
        <v/>
      </c>
      <c r="D42" s="438" t="str">
        <f t="shared" si="1"/>
        <v/>
      </c>
      <c r="E42" s="452">
        <f>IF($E$4="","",IF(AND($I42&gt;=20,$D42=88,'4-1.参照シートー２'!$R42&lt;=104000),($P42+$V42)*$G$12,0))</f>
        <v>0</v>
      </c>
      <c r="F42" s="495">
        <f>IF('4-1.参照シートー２'!$G42="","",'4-1.参照シートー２'!$G42)</f>
        <v>0</v>
      </c>
      <c r="G42" s="453">
        <f>IF($E$4="","",IF(AND($I42&gt;=20,$D42=88,$R42&gt;104000),('4-1.参照シートー２'!$R42+$V42)*$G$12,0))</f>
        <v>0</v>
      </c>
      <c r="H42" s="431" t="str">
        <f t="shared" si="27"/>
        <v/>
      </c>
      <c r="I42" s="60" t="str">
        <f t="shared" si="28"/>
        <v/>
      </c>
      <c r="J42" s="174" t="str">
        <f t="shared" si="2"/>
        <v/>
      </c>
      <c r="K42" s="361">
        <f t="shared" si="15"/>
        <v>0</v>
      </c>
      <c r="L42" s="174">
        <f t="shared" si="16"/>
        <v>0</v>
      </c>
      <c r="M42" s="442">
        <f t="shared" si="17"/>
        <v>0</v>
      </c>
      <c r="N42" s="73">
        <f t="shared" si="18"/>
        <v>0</v>
      </c>
      <c r="O42" s="509">
        <f t="shared" si="19"/>
        <v>0</v>
      </c>
      <c r="P42" s="506">
        <f>IF($E$4="",0,IF($O42=0,0,VLOOKUP($O42,'3-1.標準報酬月額・保険料表'!$N$8:$O$57,2,TRUE)))</f>
        <v>0</v>
      </c>
      <c r="Q42" s="507">
        <f t="shared" si="3"/>
        <v>0</v>
      </c>
      <c r="R42" s="510">
        <f>IF($E$4="",0,IF($Q42=0,0,VLOOKUP($Q42,'3-1.標準報酬月額・保険料表'!$N$8:$O$57,2,TRUE)))</f>
        <v>0</v>
      </c>
      <c r="S42" s="359">
        <f t="shared" si="20"/>
        <v>0</v>
      </c>
      <c r="T42" s="458">
        <f>IF($E$4="",0,IF($S42=0,0,VLOOKUP($S42,'3-1.標準報酬月額・保険料表'!$N$8:$O$57,2,TRUE)))</f>
        <v>0</v>
      </c>
      <c r="U42" s="457">
        <f t="shared" si="4"/>
        <v>0</v>
      </c>
      <c r="V42" s="445">
        <f t="shared" si="5"/>
        <v>0</v>
      </c>
      <c r="W42" s="163">
        <f t="shared" si="6"/>
        <v>0</v>
      </c>
      <c r="X42" s="36">
        <f>IF($E$4="",0,IF($I42&lt;20,0,IF($X$13="",0,IF($X$13=2,0,IF($W42&lt;$Y$13,0,IF($T42&lt;=620000,VLOOKUP($T42,'3-1.標準報酬月額・保険料表'!$D$8:$L$42,9,FALSE),'3-1.標準報酬月額・保険料表'!$L$42)+ROUNDDOWN($V42*$AD$7,0))))))</f>
        <v>0</v>
      </c>
      <c r="Y42" s="25">
        <f>IF($E$4="",0,IF($I42&lt;20,0,IF($U$9="",0,IF($X$13=2,0,IF($E$10&gt;=$Z$13,0,IF($W42&lt;$Y$13,0,VLOOKUP($T42,'3-1.標準報酬月額・保険料表'!$D$8:$J$57,6,FALSE)+ROUNDDOWN($V42*$AA$7,0)))))))</f>
        <v>0</v>
      </c>
      <c r="Z42" s="25">
        <f>IF($E$4="",0,IF($I42&lt;20,0,IF($X$13="",0,IF($X$13=2,0,IF($E$10&lt;$Z$13,0,IF($W42&lt;$Y$13,0,VLOOKUP($T42,'3-1.標準報酬月額・保険料表'!$D$8:$J$57,7,FALSE)+ROUNDDOWN($V42*$AB$7,0)))))))</f>
        <v>0</v>
      </c>
      <c r="AA42" s="41">
        <f t="shared" si="21"/>
        <v>0</v>
      </c>
      <c r="AB42" s="46">
        <f>IF($E$4="",0,IF($AB$13="",0,IF($AB$13=1,0,IF($I42&lt;$AD$13,0,IF($N42&lt;$AC$13,0,IF($T42&lt;=620000,VLOOKUP($T42,'3-1.標準報酬月額・保険料表'!$D$8:$L$42,9,FALSE),'3-1.標準報酬月額・保険料表'!$L$42)+ROUNDDOWN($V42*$AD$7,0))))))</f>
        <v>0</v>
      </c>
      <c r="AC42" s="47">
        <f>IF($E$4="",0,IF($AB$13="",0,IF($AB$13=1,0,IF($I42&lt;$AD$13,0,IF($N42&lt;$AC$13,0,IF($E$10&gt;=$AE$13,0,VLOOKUP($T42,'3-1.標準報酬月額・保険料表'!$D$8:$J$57,6,FALSE)+ROUNDDOWN($V42*$AA$7,0)))))))</f>
        <v>0</v>
      </c>
      <c r="AD42" s="47">
        <f>IF($E$4="",0,IF($AB$13="",0,IF($AB$13=1,0,IF($I42&lt;$AD$13,0,IF($N42&lt;$AC$13,0,IF($E$10&lt;$AE$13,0,VLOOKUP($T42,'3-1.標準報酬月額・保険料表'!$D$8:$J$57,7,FALSE)+ROUNDDOWN($V42*$AB$7,0)))))))</f>
        <v>0</v>
      </c>
      <c r="AE42" s="48">
        <f t="shared" si="22"/>
        <v>0</v>
      </c>
      <c r="AF42" s="38">
        <f t="shared" si="7"/>
        <v>0</v>
      </c>
      <c r="AG42" s="43">
        <f t="shared" si="23"/>
        <v>0</v>
      </c>
      <c r="AH42" s="127">
        <f>IF($E$4="","",VLOOKUP($N42,'3-2.所得算出参照表'!K$5:L$10,2,TRUE))</f>
        <v>1625000</v>
      </c>
      <c r="AI42" s="128">
        <f>IF($AH42="",0,IF($AH42='3-2.所得算出参照表'!$B$5,'3-2.所得算出参照表'!$E$5,IF('4-1.手当等支給メニュー'!$AH42='3-2.所得算出参照表'!$B$6,'4-1.手当等支給メニュー'!$N42*'3-2.所得算出参照表'!$E$6+'3-2.所得算出参照表'!$G$6,IF('4-1.手当等支給メニュー'!$AH42='3-2.所得算出参照表'!$B$7,'4-1.手当等支給メニュー'!$N42*'3-2.所得算出参照表'!$E$7+'3-2.所得算出参照表'!$G$7,IF('4-1.手当等支給メニュー'!$AH42='3-2.所得算出参照表'!$B$8,'4-1.手当等支給メニュー'!$N42*'3-2.所得算出参照表'!$E$8+'3-2.所得算出参照表'!$G$8,IF('4-1.手当等支給メニュー'!$AH42='3-2.所得算出参照表'!$B$9,'4-1.手当等支給メニュー'!$N42*'3-2.所得算出参照表'!$E$9+'3-2.所得算出参照表'!$G$9,IF($AH42='3-2.所得算出参照表'!$B$10,'3-2.所得算出参照表'!$G$10)))))))</f>
        <v>550000</v>
      </c>
      <c r="AJ42" s="90">
        <f t="shared" si="8"/>
        <v>480000</v>
      </c>
      <c r="AK42" s="85">
        <f t="shared" si="9"/>
        <v>0</v>
      </c>
      <c r="AL42" s="130">
        <f>VLOOKUP($AK42,'3-2.所得算出参照表'!$N$4:$O$11,2,TRUE)</f>
        <v>0</v>
      </c>
      <c r="AM42" s="85">
        <f>VLOOKUP($AK42,'3-2.所得算出参照表'!$P$4:$Q$11,2,TRUE)</f>
        <v>0</v>
      </c>
      <c r="AN42" s="85">
        <f t="shared" si="24"/>
        <v>0</v>
      </c>
      <c r="AO42" s="85">
        <f>$AN42*'3-2.所得算出参照表'!$D$14</f>
        <v>0</v>
      </c>
      <c r="AP42" s="99">
        <f t="shared" si="25"/>
        <v>0</v>
      </c>
      <c r="AQ42" s="107">
        <f>IF($AH42="",0,IF($AH42='3-2.所得算出参照表'!$B$5,'3-2.所得算出参照表'!$E$5,IF('4-1.手当等支給メニュー'!$AH42='3-2.所得算出参照表'!$B$6,'4-1.手当等支給メニュー'!$N42*'3-2.所得算出参照表'!$E$6+'3-2.所得算出参照表'!$G$6,IF('4-1.手当等支給メニュー'!$AH42='3-2.所得算出参照表'!$B$7,'4-1.手当等支給メニュー'!$N42*'3-2.所得算出参照表'!$E$7+'3-2.所得算出参照表'!$G$7,IF('4-1.手当等支給メニュー'!$AH42='3-2.所得算出参照表'!$B$8,'4-1.手当等支給メニュー'!$N42*'3-2.所得算出参照表'!$E$8+'3-2.所得算出参照表'!$G$8,IF('4-1.手当等支給メニュー'!$AH42='3-2.所得算出参照表'!$B$9,'4-1.手当等支給メニュー'!$N42*'3-2.所得算出参照表'!$E$9+'3-2.所得算出参照表'!$G$9,IF($AH42='3-2.所得算出参照表'!$B$10,'3-2.所得算出参照表'!$G$10)))))))</f>
        <v>550000</v>
      </c>
      <c r="AR42" s="47">
        <f t="shared" si="10"/>
        <v>430000</v>
      </c>
      <c r="AS42" s="95">
        <f t="shared" si="11"/>
        <v>0</v>
      </c>
      <c r="AT42" s="95">
        <f t="shared" si="12"/>
        <v>0</v>
      </c>
      <c r="AU42" s="96">
        <f t="shared" si="13"/>
        <v>0</v>
      </c>
      <c r="AV42" s="103">
        <f t="shared" si="26"/>
        <v>0</v>
      </c>
      <c r="AW42" s="120">
        <f t="shared" si="14"/>
        <v>0</v>
      </c>
    </row>
    <row r="43" spans="2:49" ht="21.95" customHeight="1" x14ac:dyDescent="0.15">
      <c r="B43" s="76">
        <v>29</v>
      </c>
      <c r="C43" s="78" t="str">
        <f t="shared" si="0"/>
        <v/>
      </c>
      <c r="D43" s="438" t="str">
        <f t="shared" si="1"/>
        <v/>
      </c>
      <c r="E43" s="452">
        <f>IF($E$4="","",IF(AND($I43&gt;=20,$D43=88,'4-1.参照シートー２'!$R43&lt;=104000),($P43+$V43)*$G$12,0))</f>
        <v>0</v>
      </c>
      <c r="F43" s="495">
        <f>IF('4-1.参照シートー２'!$G43="","",'4-1.参照シートー２'!$G43)</f>
        <v>0</v>
      </c>
      <c r="G43" s="453">
        <f>IF($E$4="","",IF(AND($I43&gt;=20,$D43=88,$R43&gt;104000),('4-1.参照シートー２'!$R43+$V43)*$G$12,0))</f>
        <v>0</v>
      </c>
      <c r="H43" s="431" t="str">
        <f t="shared" si="27"/>
        <v/>
      </c>
      <c r="I43" s="60" t="str">
        <f t="shared" si="28"/>
        <v/>
      </c>
      <c r="J43" s="174" t="str">
        <f t="shared" si="2"/>
        <v/>
      </c>
      <c r="K43" s="361">
        <f t="shared" si="15"/>
        <v>0</v>
      </c>
      <c r="L43" s="174">
        <f t="shared" si="16"/>
        <v>0</v>
      </c>
      <c r="M43" s="442">
        <f t="shared" si="17"/>
        <v>0</v>
      </c>
      <c r="N43" s="73">
        <f t="shared" si="18"/>
        <v>0</v>
      </c>
      <c r="O43" s="509">
        <f t="shared" si="19"/>
        <v>0</v>
      </c>
      <c r="P43" s="506">
        <f>IF($E$4="",0,IF($O43=0,0,VLOOKUP($O43,'3-1.標準報酬月額・保険料表'!$N$8:$O$57,2,TRUE)))</f>
        <v>0</v>
      </c>
      <c r="Q43" s="507">
        <f t="shared" si="3"/>
        <v>0</v>
      </c>
      <c r="R43" s="510">
        <f>IF($E$4="",0,IF($Q43=0,0,VLOOKUP($Q43,'3-1.標準報酬月額・保険料表'!$N$8:$O$57,2,TRUE)))</f>
        <v>0</v>
      </c>
      <c r="S43" s="359">
        <f t="shared" si="20"/>
        <v>0</v>
      </c>
      <c r="T43" s="458">
        <f>IF($E$4="",0,IF($S43=0,0,VLOOKUP($S43,'3-1.標準報酬月額・保険料表'!$N$8:$O$57,2,TRUE)))</f>
        <v>0</v>
      </c>
      <c r="U43" s="457">
        <f t="shared" si="4"/>
        <v>0</v>
      </c>
      <c r="V43" s="445">
        <f t="shared" si="5"/>
        <v>0</v>
      </c>
      <c r="W43" s="163">
        <f t="shared" si="6"/>
        <v>0</v>
      </c>
      <c r="X43" s="36">
        <f>IF($E$4="",0,IF($I43&lt;20,0,IF($X$13="",0,IF($X$13=2,0,IF($W43&lt;$Y$13,0,IF($T43&lt;=620000,VLOOKUP($T43,'3-1.標準報酬月額・保険料表'!$D$8:$L$42,9,FALSE),'3-1.標準報酬月額・保険料表'!$L$42)+ROUNDDOWN($V43*$AD$7,0))))))</f>
        <v>0</v>
      </c>
      <c r="Y43" s="25">
        <f>IF($E$4="",0,IF($I43&lt;20,0,IF($U$9="",0,IF($X$13=2,0,IF($E$10&gt;=$Z$13,0,IF($W43&lt;$Y$13,0,VLOOKUP($T43,'3-1.標準報酬月額・保険料表'!$D$8:$J$57,6,FALSE)+ROUNDDOWN($V43*$AA$7,0)))))))</f>
        <v>0</v>
      </c>
      <c r="Z43" s="25">
        <f>IF($E$4="",0,IF($I43&lt;20,0,IF($X$13="",0,IF($X$13=2,0,IF($E$10&lt;$Z$13,0,IF($W43&lt;$Y$13,0,VLOOKUP($T43,'3-1.標準報酬月額・保険料表'!$D$8:$J$57,7,FALSE)+ROUNDDOWN($V43*$AB$7,0)))))))</f>
        <v>0</v>
      </c>
      <c r="AA43" s="41">
        <f t="shared" si="21"/>
        <v>0</v>
      </c>
      <c r="AB43" s="46">
        <f>IF($E$4="",0,IF($AB$13="",0,IF($AB$13=1,0,IF($I43&lt;$AD$13,0,IF($N43&lt;$AC$13,0,IF($T43&lt;=620000,VLOOKUP($T43,'3-1.標準報酬月額・保険料表'!$D$8:$L$42,9,FALSE),'3-1.標準報酬月額・保険料表'!$L$42)+ROUNDDOWN($V43*$AD$7,0))))))</f>
        <v>0</v>
      </c>
      <c r="AC43" s="47">
        <f>IF($E$4="",0,IF($AB$13="",0,IF($AB$13=1,0,IF($I43&lt;$AD$13,0,IF($N43&lt;$AC$13,0,IF($E$10&gt;=$AE$13,0,VLOOKUP($T43,'3-1.標準報酬月額・保険料表'!$D$8:$J$57,6,FALSE)+ROUNDDOWN($V43*$AA$7,0)))))))</f>
        <v>0</v>
      </c>
      <c r="AD43" s="47">
        <f>IF($E$4="",0,IF($AB$13="",0,IF($AB$13=1,0,IF($I43&lt;$AD$13,0,IF($N43&lt;$AC$13,0,IF($E$10&lt;$AE$13,0,VLOOKUP($T43,'3-1.標準報酬月額・保険料表'!$D$8:$J$57,7,FALSE)+ROUNDDOWN($V43*$AB$7,0)))))))</f>
        <v>0</v>
      </c>
      <c r="AE43" s="48">
        <f t="shared" si="22"/>
        <v>0</v>
      </c>
      <c r="AF43" s="38">
        <f t="shared" si="7"/>
        <v>0</v>
      </c>
      <c r="AG43" s="43">
        <f t="shared" si="23"/>
        <v>0</v>
      </c>
      <c r="AH43" s="127">
        <f>IF($E$4="","",VLOOKUP($N43,'3-2.所得算出参照表'!K$5:L$10,2,TRUE))</f>
        <v>1625000</v>
      </c>
      <c r="AI43" s="128">
        <f>IF($AH43="",0,IF($AH43='3-2.所得算出参照表'!$B$5,'3-2.所得算出参照表'!$E$5,IF('4-1.手当等支給メニュー'!$AH43='3-2.所得算出参照表'!$B$6,'4-1.手当等支給メニュー'!$N43*'3-2.所得算出参照表'!$E$6+'3-2.所得算出参照表'!$G$6,IF('4-1.手当等支給メニュー'!$AH43='3-2.所得算出参照表'!$B$7,'4-1.手当等支給メニュー'!$N43*'3-2.所得算出参照表'!$E$7+'3-2.所得算出参照表'!$G$7,IF('4-1.手当等支給メニュー'!$AH43='3-2.所得算出参照表'!$B$8,'4-1.手当等支給メニュー'!$N43*'3-2.所得算出参照表'!$E$8+'3-2.所得算出参照表'!$G$8,IF('4-1.手当等支給メニュー'!$AH43='3-2.所得算出参照表'!$B$9,'4-1.手当等支給メニュー'!$N43*'3-2.所得算出参照表'!$E$9+'3-2.所得算出参照表'!$G$9,IF($AH43='3-2.所得算出参照表'!$B$10,'3-2.所得算出参照表'!$G$10)))))))</f>
        <v>550000</v>
      </c>
      <c r="AJ43" s="90">
        <f t="shared" si="8"/>
        <v>480000</v>
      </c>
      <c r="AK43" s="85">
        <f t="shared" si="9"/>
        <v>0</v>
      </c>
      <c r="AL43" s="130">
        <f>VLOOKUP($AK43,'3-2.所得算出参照表'!$N$4:$O$11,2,TRUE)</f>
        <v>0</v>
      </c>
      <c r="AM43" s="85">
        <f>VLOOKUP($AK43,'3-2.所得算出参照表'!$P$4:$Q$11,2,TRUE)</f>
        <v>0</v>
      </c>
      <c r="AN43" s="85">
        <f t="shared" si="24"/>
        <v>0</v>
      </c>
      <c r="AO43" s="85">
        <f>$AN43*'3-2.所得算出参照表'!$D$14</f>
        <v>0</v>
      </c>
      <c r="AP43" s="99">
        <f t="shared" si="25"/>
        <v>0</v>
      </c>
      <c r="AQ43" s="107">
        <f>IF($AH43="",0,IF($AH43='3-2.所得算出参照表'!$B$5,'3-2.所得算出参照表'!$E$5,IF('4-1.手当等支給メニュー'!$AH43='3-2.所得算出参照表'!$B$6,'4-1.手当等支給メニュー'!$N43*'3-2.所得算出参照表'!$E$6+'3-2.所得算出参照表'!$G$6,IF('4-1.手当等支給メニュー'!$AH43='3-2.所得算出参照表'!$B$7,'4-1.手当等支給メニュー'!$N43*'3-2.所得算出参照表'!$E$7+'3-2.所得算出参照表'!$G$7,IF('4-1.手当等支給メニュー'!$AH43='3-2.所得算出参照表'!$B$8,'4-1.手当等支給メニュー'!$N43*'3-2.所得算出参照表'!$E$8+'3-2.所得算出参照表'!$G$8,IF('4-1.手当等支給メニュー'!$AH43='3-2.所得算出参照表'!$B$9,'4-1.手当等支給メニュー'!$N43*'3-2.所得算出参照表'!$E$9+'3-2.所得算出参照表'!$G$9,IF($AH43='3-2.所得算出参照表'!$B$10,'3-2.所得算出参照表'!$G$10)))))))</f>
        <v>550000</v>
      </c>
      <c r="AR43" s="47">
        <f t="shared" si="10"/>
        <v>430000</v>
      </c>
      <c r="AS43" s="95">
        <f t="shared" si="11"/>
        <v>0</v>
      </c>
      <c r="AT43" s="95">
        <f t="shared" si="12"/>
        <v>0</v>
      </c>
      <c r="AU43" s="96">
        <f t="shared" si="13"/>
        <v>0</v>
      </c>
      <c r="AV43" s="103">
        <f t="shared" si="26"/>
        <v>0</v>
      </c>
      <c r="AW43" s="120">
        <f t="shared" si="14"/>
        <v>0</v>
      </c>
    </row>
    <row r="44" spans="2:49" ht="21.95" customHeight="1" thickBot="1" x14ac:dyDescent="0.2">
      <c r="B44" s="76">
        <v>30</v>
      </c>
      <c r="C44" s="79" t="str">
        <f t="shared" si="0"/>
        <v/>
      </c>
      <c r="D44" s="439" t="str">
        <f t="shared" si="1"/>
        <v/>
      </c>
      <c r="E44" s="452">
        <f>IF($E$4="","",IF(AND($I44&gt;=20,$D44=88,'4-1.参照シートー２'!$R44&lt;=104000),($P44+$V44)*$G$12,0))</f>
        <v>0</v>
      </c>
      <c r="F44" s="495">
        <f>IF('4-1.参照シートー２'!$G44="","",'4-1.参照シートー２'!$G44)</f>
        <v>0</v>
      </c>
      <c r="G44" s="453">
        <f>IF($E$4="","",IF(AND($I44&gt;=20,$D44=88,$R44&gt;104000),('4-1.参照シートー２'!$R44+$V44)*$G$12,0))</f>
        <v>0</v>
      </c>
      <c r="H44" s="431" t="str">
        <f t="shared" si="27"/>
        <v/>
      </c>
      <c r="I44" s="60" t="str">
        <f t="shared" si="28"/>
        <v/>
      </c>
      <c r="J44" s="174" t="str">
        <f t="shared" si="2"/>
        <v/>
      </c>
      <c r="K44" s="361">
        <f t="shared" si="15"/>
        <v>0</v>
      </c>
      <c r="L44" s="174">
        <f t="shared" si="16"/>
        <v>0</v>
      </c>
      <c r="M44" s="443">
        <f t="shared" si="17"/>
        <v>0</v>
      </c>
      <c r="N44" s="73">
        <f t="shared" si="18"/>
        <v>0</v>
      </c>
      <c r="O44" s="511">
        <f t="shared" si="19"/>
        <v>0</v>
      </c>
      <c r="P44" s="512">
        <f>IF($E$4="",0,IF($O44=0,0,VLOOKUP($O44,'3-1.標準報酬月額・保険料表'!$N$8:$O$57,2,TRUE)))</f>
        <v>0</v>
      </c>
      <c r="Q44" s="513">
        <f t="shared" si="3"/>
        <v>0</v>
      </c>
      <c r="R44" s="514">
        <f>IF($E$4="",0,IF($Q44=0,0,VLOOKUP($Q44,'3-1.標準報酬月額・保険料表'!$N$8:$O$57,2,TRUE)))</f>
        <v>0</v>
      </c>
      <c r="S44" s="459">
        <f t="shared" si="20"/>
        <v>0</v>
      </c>
      <c r="T44" s="460">
        <f>IF($E$4="",0,IF($S44=0,0,VLOOKUP($S44,'3-1.標準報酬月額・保険料表'!$N$8:$O$57,2,TRUE)))</f>
        <v>0</v>
      </c>
      <c r="U44" s="457">
        <f t="shared" si="4"/>
        <v>0</v>
      </c>
      <c r="V44" s="446">
        <f t="shared" si="5"/>
        <v>0</v>
      </c>
      <c r="W44" s="164">
        <f t="shared" si="6"/>
        <v>0</v>
      </c>
      <c r="X44" s="37">
        <f>IF($E$4="",0,IF($I44&lt;20,0,IF($X$13="",0,IF($X$13=2,0,IF($W44&lt;$Y$13,0,IF($T44&lt;=620000,VLOOKUP($T44,'3-1.標準報酬月額・保険料表'!$D$8:$L$42,9,FALSE),'3-1.標準報酬月額・保険料表'!$L$42)+ROUNDDOWN($V44*$AD$7,0))))))</f>
        <v>0</v>
      </c>
      <c r="Y44" s="45">
        <f>IF($E$4="",0,IF($I44&lt;20,0,IF($U$9="",0,IF($X$13=2,0,IF($E$10&gt;=$Z$13,0,IF($W44&lt;$Y$13,0,VLOOKUP($T44,'3-1.標準報酬月額・保険料表'!$D$8:$J$57,6,FALSE)+ROUNDDOWN($V44*$AA$7,0)))))))</f>
        <v>0</v>
      </c>
      <c r="Z44" s="45">
        <f>IF($E$4="",0,IF($I44&lt;20,0,IF($X$13="",0,IF($X$13=2,0,IF($E$10&lt;$Z$13,0,IF($W44&lt;$Y$13,0,VLOOKUP($T44,'3-1.標準報酬月額・保険料表'!$D$8:$J$57,7,FALSE)+ROUNDDOWN($V44*$AB$7,0)))))))</f>
        <v>0</v>
      </c>
      <c r="AA44" s="42">
        <f t="shared" si="21"/>
        <v>0</v>
      </c>
      <c r="AB44" s="49">
        <f>IF($E$4="",0,IF($AB$13="",0,IF($AB$13=1,0,IF($I44&lt;$AD$13,0,IF($N44&lt;$AC$13,0,IF($T44&lt;=620000,VLOOKUP($T44,'3-1.標準報酬月額・保険料表'!$D$8:$L$42,9,FALSE),'3-1.標準報酬月額・保険料表'!$L$42)+ROUNDDOWN($V44*$AD$7,0))))))</f>
        <v>0</v>
      </c>
      <c r="AC44" s="50">
        <f>IF($E$4="",0,IF($AB$13="",0,IF($AB$13=1,0,IF($I44&lt;$AD$13,0,IF($N44&lt;$AC$13,0,IF($E$10&gt;=$AE$13,0,VLOOKUP($T44,'3-1.標準報酬月額・保険料表'!$D$8:$J$57,6,FALSE)+ROUNDDOWN($V44*$AA$7,0)))))))</f>
        <v>0</v>
      </c>
      <c r="AD44" s="50">
        <f>IF($E$4="",0,IF($AB$13="",0,IF($AB$13=1,0,IF($I44&lt;$AD$13,0,IF($N44&lt;$AC$13,0,IF($E$10&lt;$AE$13,0,VLOOKUP($T44,'3-1.標準報酬月額・保険料表'!$D$8:$J$57,7,FALSE)+ROUNDDOWN($V44*$AB$7,0)))))))</f>
        <v>0</v>
      </c>
      <c r="AE44" s="51">
        <f t="shared" si="22"/>
        <v>0</v>
      </c>
      <c r="AF44" s="39">
        <f t="shared" si="7"/>
        <v>0</v>
      </c>
      <c r="AG44" s="44">
        <f t="shared" si="23"/>
        <v>0</v>
      </c>
      <c r="AH44" s="127">
        <f>IF($E$4="","",VLOOKUP($N44,'3-2.所得算出参照表'!K$5:L$10,2,TRUE))</f>
        <v>1625000</v>
      </c>
      <c r="AI44" s="128">
        <f>IF($AH44="",0,IF($AH44='3-2.所得算出参照表'!$B$5,'3-2.所得算出参照表'!$E$5,IF('4-1.手当等支給メニュー'!$AH44='3-2.所得算出参照表'!$B$6,'4-1.手当等支給メニュー'!$N44*'3-2.所得算出参照表'!$E$6+'3-2.所得算出参照表'!$G$6,IF('4-1.手当等支給メニュー'!$AH44='3-2.所得算出参照表'!$B$7,'4-1.手当等支給メニュー'!$N44*'3-2.所得算出参照表'!$E$7+'3-2.所得算出参照表'!$G$7,IF('4-1.手当等支給メニュー'!$AH44='3-2.所得算出参照表'!$B$8,'4-1.手当等支給メニュー'!$N44*'3-2.所得算出参照表'!$E$8+'3-2.所得算出参照表'!$G$8,IF('4-1.手当等支給メニュー'!$AH44='3-2.所得算出参照表'!$B$9,'4-1.手当等支給メニュー'!$N44*'3-2.所得算出参照表'!$E$9+'3-2.所得算出参照表'!$G$9,IF($AH44='3-2.所得算出参照表'!$B$10,'3-2.所得算出参照表'!$G$10)))))))</f>
        <v>550000</v>
      </c>
      <c r="AJ44" s="90">
        <f t="shared" si="8"/>
        <v>480000</v>
      </c>
      <c r="AK44" s="85">
        <f t="shared" si="9"/>
        <v>0</v>
      </c>
      <c r="AL44" s="130">
        <f>VLOOKUP($AK44,'3-2.所得算出参照表'!$N$4:$O$11,2,TRUE)</f>
        <v>0</v>
      </c>
      <c r="AM44" s="85">
        <f>VLOOKUP($AK44,'3-2.所得算出参照表'!$P$4:$Q$11,2,TRUE)</f>
        <v>0</v>
      </c>
      <c r="AN44" s="85">
        <f t="shared" si="24"/>
        <v>0</v>
      </c>
      <c r="AO44" s="85">
        <f>$AN44*'3-2.所得算出参照表'!$D$14</f>
        <v>0</v>
      </c>
      <c r="AP44" s="99">
        <f t="shared" si="25"/>
        <v>0</v>
      </c>
      <c r="AQ44" s="108">
        <f>IF($AH44="",0,IF($AH44='3-2.所得算出参照表'!$B$5,'3-2.所得算出参照表'!$E$5,IF('4-1.手当等支給メニュー'!$AH44='3-2.所得算出参照表'!$B$6,'4-1.手当等支給メニュー'!$N44*'3-2.所得算出参照表'!$E$6+'3-2.所得算出参照表'!$G$6,IF('4-1.手当等支給メニュー'!$AH44='3-2.所得算出参照表'!$B$7,'4-1.手当等支給メニュー'!$N44*'3-2.所得算出参照表'!$E$7+'3-2.所得算出参照表'!$G$7,IF('4-1.手当等支給メニュー'!$AH44='3-2.所得算出参照表'!$B$8,'4-1.手当等支給メニュー'!$N44*'3-2.所得算出参照表'!$E$8+'3-2.所得算出参照表'!$G$8,IF('4-1.手当等支給メニュー'!$AH44='3-2.所得算出参照表'!$B$9,'4-1.手当等支給メニュー'!$N44*'3-2.所得算出参照表'!$E$9+'3-2.所得算出参照表'!$G$9,IF($AH44='3-2.所得算出参照表'!$B$10,'3-2.所得算出参照表'!$G$10)))))))</f>
        <v>550000</v>
      </c>
      <c r="AR44" s="50">
        <f t="shared" si="10"/>
        <v>430000</v>
      </c>
      <c r="AS44" s="104">
        <f t="shared" si="11"/>
        <v>0</v>
      </c>
      <c r="AT44" s="104">
        <f t="shared" si="12"/>
        <v>0</v>
      </c>
      <c r="AU44" s="105">
        <f t="shared" si="13"/>
        <v>0</v>
      </c>
      <c r="AV44" s="106">
        <f t="shared" si="26"/>
        <v>0</v>
      </c>
      <c r="AW44" s="121">
        <f t="shared" si="14"/>
        <v>0</v>
      </c>
    </row>
    <row r="45" spans="2:49" x14ac:dyDescent="0.15">
      <c r="AU45" s="109"/>
    </row>
    <row r="46" spans="2:49" x14ac:dyDescent="0.15">
      <c r="AU46" s="109"/>
    </row>
    <row r="47" spans="2:49" x14ac:dyDescent="0.15">
      <c r="AU47" s="109"/>
    </row>
  </sheetData>
  <sheetProtection algorithmName="SHA-512" hashValue="HxXgASS+hFq9uxraMkRFuLTPXA2D6OxZ+pJuL6dj1F7EHmjJBNva9azvQfu5yubr3hrPRaVALLh+dN1fEsLv/w==" saltValue="bJqD19+0Ha117y+eLGGECA==" spinCount="100000" sheet="1" objects="1" scenarios="1"/>
  <mergeCells count="27">
    <mergeCell ref="K4:K5"/>
    <mergeCell ref="L4:L5"/>
    <mergeCell ref="M4:M5"/>
    <mergeCell ref="J4:J5"/>
    <mergeCell ref="S8:U8"/>
    <mergeCell ref="M8:N8"/>
    <mergeCell ref="S9:T9"/>
    <mergeCell ref="S10:T10"/>
    <mergeCell ref="AF9:AF10"/>
    <mergeCell ref="G12:H12"/>
    <mergeCell ref="G10:H11"/>
    <mergeCell ref="AA4:AE4"/>
    <mergeCell ref="C5:E5"/>
    <mergeCell ref="BE15:BF15"/>
    <mergeCell ref="BE16:BF16"/>
    <mergeCell ref="BE11:BF11"/>
    <mergeCell ref="BE12:BF12"/>
    <mergeCell ref="AW13:AW14"/>
    <mergeCell ref="BD13:BD14"/>
    <mergeCell ref="BE13:BF13"/>
    <mergeCell ref="BE14:BF14"/>
    <mergeCell ref="BD11:BD12"/>
    <mergeCell ref="BE10:BF10"/>
    <mergeCell ref="AS5:AT5"/>
    <mergeCell ref="Q13:R13"/>
    <mergeCell ref="S13:T13"/>
    <mergeCell ref="S11:T11"/>
  </mergeCells>
  <phoneticPr fontId="3"/>
  <conditionalFormatting sqref="K15:K44">
    <cfRule type="expression" dxfId="36" priority="1">
      <formula>$K15&lt;88000</formula>
    </cfRule>
  </conditionalFormatting>
  <conditionalFormatting sqref="N15:N44">
    <cfRule type="expression" dxfId="35" priority="2">
      <formula>N15&gt;=$M$13</formula>
    </cfRule>
    <cfRule type="expression" dxfId="34" priority="3">
      <formula>N15&gt;=M$12</formula>
    </cfRule>
    <cfRule type="expression" dxfId="33" priority="4">
      <formula>N15&gt;$M$11</formula>
    </cfRule>
    <cfRule type="expression" dxfId="32" priority="5">
      <formula>N15&gt;$M$10</formula>
    </cfRule>
    <cfRule type="expression" dxfId="31" priority="6">
      <formula>N15&lt;=$M$9</formula>
    </cfRule>
  </conditionalFormatting>
  <pageMargins left="0.59055118110236227" right="0.59055118110236227" top="0.78740157480314965" bottom="0.59055118110236227" header="0.51181102362204722" footer="0.51181102362204722"/>
  <pageSetup paperSize="9" scale="70" pageOrder="overThenDown" orientation="landscape" r:id="rId1"/>
  <headerFooter alignWithMargins="0">
    <oddFooter>&amp;C&amp;P</oddFooter>
  </headerFooter>
  <rowBreaks count="1" manualBreakCount="1">
    <brk id="29" max="44" man="1"/>
  </rowBreaks>
  <colBreaks count="3" manualBreakCount="3">
    <brk id="23" max="43" man="1"/>
    <brk id="33" max="43" man="1"/>
    <brk id="43" max="43"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D9EDE-5B75-444F-A426-EAE4972C3EFA}">
  <sheetPr>
    <tabColor rgb="FFFF6600"/>
    <pageSetUpPr autoPageBreaks="0"/>
  </sheetPr>
  <dimension ref="B1:V46"/>
  <sheetViews>
    <sheetView showGridLines="0" zoomScaleNormal="100" zoomScaleSheetLayoutView="80" workbookViewId="0"/>
  </sheetViews>
  <sheetFormatPr defaultRowHeight="14.25" x14ac:dyDescent="0.15"/>
  <cols>
    <col min="1" max="1" width="2.625" style="17" customWidth="1"/>
    <col min="2" max="2" width="6" style="17" customWidth="1"/>
    <col min="3" max="3" width="18.125" style="17" customWidth="1"/>
    <col min="4" max="5" width="16.75" style="17" customWidth="1"/>
    <col min="6" max="6" width="8.5" style="17" customWidth="1"/>
    <col min="7" max="7" width="15.625" style="17" customWidth="1"/>
    <col min="8" max="11" width="16.5" style="17" customWidth="1"/>
    <col min="12" max="12" width="16.25" style="17" customWidth="1"/>
    <col min="13" max="13" width="10.875" style="17" customWidth="1"/>
    <col min="14" max="14" width="12.375" style="17" customWidth="1"/>
    <col min="15" max="15" width="15.625" style="17" customWidth="1"/>
    <col min="16" max="16" width="12.25" style="17" customWidth="1"/>
    <col min="17" max="17" width="25.75" style="17" customWidth="1"/>
    <col min="18" max="18" width="9" style="109"/>
    <col min="19" max="19" width="14.25" style="17" customWidth="1"/>
    <col min="20" max="20" width="19.75" style="17" customWidth="1"/>
    <col min="21" max="21" width="31.875" style="17" customWidth="1"/>
    <col min="22" max="22" width="19.75" style="17" customWidth="1"/>
    <col min="23" max="16384" width="9" style="17"/>
  </cols>
  <sheetData>
    <row r="1" spans="2:21" ht="30.75" customHeight="1" x14ac:dyDescent="0.15">
      <c r="C1" s="123"/>
      <c r="D1" s="123"/>
      <c r="E1" s="123"/>
      <c r="F1" s="123"/>
      <c r="G1" s="123"/>
      <c r="H1" s="123"/>
      <c r="I1" s="123"/>
      <c r="J1" s="123"/>
      <c r="K1" s="123"/>
      <c r="L1" s="123"/>
      <c r="M1" s="123"/>
      <c r="N1" s="123"/>
      <c r="O1" s="123"/>
      <c r="P1" s="123"/>
    </row>
    <row r="2" spans="2:21" ht="38.25" customHeight="1" x14ac:dyDescent="0.15">
      <c r="H2" s="399"/>
      <c r="I2" s="183"/>
      <c r="J2" s="183"/>
      <c r="K2" s="183"/>
    </row>
    <row r="3" spans="2:21" ht="24" customHeight="1" x14ac:dyDescent="0.15">
      <c r="C3" s="400" t="s">
        <v>384</v>
      </c>
      <c r="D3" s="401"/>
      <c r="E3" s="401"/>
      <c r="F3" s="401"/>
      <c r="G3" s="401"/>
      <c r="H3" s="401"/>
      <c r="I3" s="401"/>
      <c r="J3" s="401"/>
      <c r="K3" s="401"/>
      <c r="L3" s="401"/>
      <c r="M3" s="401"/>
      <c r="Q3" s="34" t="s">
        <v>168</v>
      </c>
    </row>
    <row r="4" spans="2:21" ht="8.25" customHeight="1" x14ac:dyDescent="0.15">
      <c r="C4" s="402"/>
      <c r="D4" s="402"/>
      <c r="E4" s="402"/>
      <c r="F4" s="402"/>
      <c r="G4" s="402"/>
      <c r="H4" s="402"/>
      <c r="M4" s="981" t="s">
        <v>354</v>
      </c>
      <c r="N4" s="982"/>
      <c r="O4" s="982"/>
      <c r="P4" s="982"/>
      <c r="Q4" s="983"/>
    </row>
    <row r="5" spans="2:21" ht="24" customHeight="1" x14ac:dyDescent="0.15">
      <c r="C5" s="695" t="s">
        <v>79</v>
      </c>
      <c r="D5" s="428">
        <f>IF('4-1.手当等支給メニュー'!$E$4="","",'4-1.手当等支給メニュー'!$E$4)</f>
        <v>102</v>
      </c>
      <c r="E5" s="695" t="s">
        <v>111</v>
      </c>
      <c r="F5" s="990" t="str">
        <f>IF('4-1.手当等支給メニュー'!$C$6="","",'4-1.手当等支給メニュー'!$C$6)&amp;"　様"</f>
        <v>ＡＢ　様</v>
      </c>
      <c r="G5" s="991"/>
      <c r="H5" s="323"/>
      <c r="L5" s="18"/>
      <c r="M5" s="984"/>
      <c r="N5" s="985"/>
      <c r="O5" s="985"/>
      <c r="P5" s="985"/>
      <c r="Q5" s="986"/>
    </row>
    <row r="6" spans="2:21" ht="24" customHeight="1" x14ac:dyDescent="0.15">
      <c r="C6" s="696" t="s">
        <v>171</v>
      </c>
      <c r="D6" s="425">
        <f>IF('4-1.手当等支給メニュー'!$E$7="","",'4-1.手当等支給メニュー'!$E$7)</f>
        <v>5</v>
      </c>
      <c r="E6" s="697" t="s">
        <v>296</v>
      </c>
      <c r="F6" s="515">
        <f>IF('4-1.手当等支給メニュー'!$E$9="","",'4-1.手当等支給メニュー'!$E$9)</f>
        <v>1000</v>
      </c>
      <c r="G6" s="516" t="s">
        <v>308</v>
      </c>
      <c r="H6" s="815" t="s">
        <v>169</v>
      </c>
      <c r="M6" s="984"/>
      <c r="N6" s="985"/>
      <c r="O6" s="985"/>
      <c r="P6" s="985"/>
      <c r="Q6" s="986"/>
      <c r="S6" s="109"/>
    </row>
    <row r="7" spans="2:21" ht="24" customHeight="1" x14ac:dyDescent="0.15">
      <c r="C7" s="696" t="s">
        <v>103</v>
      </c>
      <c r="D7" s="425">
        <f>IF('4-1.手当等支給メニュー'!$E$8="","",'4-1.手当等支給メニュー'!$E$8)</f>
        <v>4</v>
      </c>
      <c r="E7" s="324" t="s">
        <v>297</v>
      </c>
      <c r="F7" s="517">
        <f>IF('4-1.手当等支給メニュー'!$C$13="","",'4-1.手当等支給メニュー'!$C$13)</f>
        <v>40</v>
      </c>
      <c r="G7" s="516" t="s">
        <v>308</v>
      </c>
      <c r="H7" s="816" t="s">
        <v>170</v>
      </c>
      <c r="M7" s="987"/>
      <c r="N7" s="988"/>
      <c r="O7" s="988"/>
      <c r="P7" s="988"/>
      <c r="Q7" s="989"/>
      <c r="S7" s="19"/>
      <c r="T7" s="19"/>
    </row>
    <row r="8" spans="2:21" s="19" customFormat="1" ht="7.5" customHeight="1" thickBot="1" x14ac:dyDescent="0.2">
      <c r="G8" s="187"/>
      <c r="H8" s="403"/>
      <c r="I8" s="404"/>
      <c r="J8" s="404"/>
      <c r="K8" s="404"/>
      <c r="L8" s="17"/>
      <c r="M8" s="17"/>
      <c r="N8" s="378"/>
      <c r="O8" s="379"/>
      <c r="P8" s="17"/>
      <c r="R8" s="427"/>
      <c r="S8" s="17"/>
      <c r="T8" s="17"/>
    </row>
    <row r="9" spans="2:21" ht="65.25" customHeight="1" thickBot="1" x14ac:dyDescent="0.2">
      <c r="B9" s="659" t="s">
        <v>18</v>
      </c>
      <c r="C9" s="680" t="s">
        <v>298</v>
      </c>
      <c r="D9" s="681" t="s">
        <v>321</v>
      </c>
      <c r="E9" s="680" t="s">
        <v>320</v>
      </c>
      <c r="F9" s="680" t="s">
        <v>326</v>
      </c>
      <c r="G9" s="680" t="s">
        <v>107</v>
      </c>
      <c r="H9" s="682" t="s">
        <v>322</v>
      </c>
      <c r="I9" s="683" t="s">
        <v>299</v>
      </c>
      <c r="J9" s="683" t="s">
        <v>259</v>
      </c>
      <c r="K9" s="683" t="s">
        <v>353</v>
      </c>
      <c r="L9" s="684" t="s">
        <v>115</v>
      </c>
      <c r="M9" s="685" t="s">
        <v>91</v>
      </c>
      <c r="N9" s="686" t="s">
        <v>144</v>
      </c>
      <c r="O9" s="687" t="s">
        <v>121</v>
      </c>
      <c r="P9" s="687" t="s">
        <v>306</v>
      </c>
      <c r="Q9" s="416" t="s">
        <v>327</v>
      </c>
      <c r="S9" s="979" t="s">
        <v>317</v>
      </c>
      <c r="T9" s="980"/>
      <c r="U9" s="535"/>
    </row>
    <row r="10" spans="2:21" ht="13.5" hidden="1" customHeight="1" thickBot="1" x14ac:dyDescent="0.2">
      <c r="B10" s="491"/>
      <c r="C10" s="493"/>
      <c r="D10" s="492"/>
      <c r="E10" s="387"/>
      <c r="F10" s="387"/>
      <c r="G10" s="387"/>
      <c r="H10" s="388"/>
      <c r="I10" s="389">
        <v>0</v>
      </c>
      <c r="J10" s="389"/>
      <c r="K10" s="389"/>
      <c r="L10" s="390"/>
      <c r="M10" s="390"/>
      <c r="N10" s="390"/>
      <c r="O10" s="391"/>
      <c r="P10" s="395"/>
      <c r="Q10" s="417"/>
      <c r="S10" s="381"/>
      <c r="T10" s="539"/>
    </row>
    <row r="11" spans="2:21" ht="24" customHeight="1" thickBot="1" x14ac:dyDescent="0.2">
      <c r="B11" s="661">
        <v>1</v>
      </c>
      <c r="C11" s="422">
        <f>IF('4-1.手当等支給メニュー'!$C15="","",'4-1.手当等支給メニュー'!$C15)</f>
        <v>1040</v>
      </c>
      <c r="D11" s="688">
        <f>IF('4-1.手当等支給メニュー'!$E15="","",IF($C11="","",'4-1.手当等支給メニュー'!$E15))</f>
        <v>14700</v>
      </c>
      <c r="E11" s="689">
        <f>IF('4-1.手当等支給メニュー'!$G15="","",IF($C11="","",'4-1.手当等支給メニュー'!$G15))</f>
        <v>0</v>
      </c>
      <c r="F11" s="668">
        <f>IF('4-1.手当等支給メニュー'!$I15="","",IF($C11="","",'4-1.手当等支給メニュー'!$I15))</f>
        <v>20</v>
      </c>
      <c r="G11" s="420">
        <f>IF('4-1.手当等支給メニュー'!$K15="","",IF($C11="","",'4-1.手当等支給メニュー'!$K15))</f>
        <v>90380.952380952382</v>
      </c>
      <c r="H11" s="421">
        <f>IF('4-1.手当等支給メニュー'!$L15="","",IF($C11="","",'4-1.手当等支給メニュー'!$L15))</f>
        <v>105080.95238095238</v>
      </c>
      <c r="I11" s="670">
        <f>IF('4-1.手当等支給メニュー'!$M15="","",IF($H11="","",'4-1.手当等支給メニュー'!$M15))</f>
        <v>107080.95238095238</v>
      </c>
      <c r="J11" s="690">
        <f>IF('4-1.手当等支給メニュー'!$N15="","",IF($H11="","",'4-1.手当等支給メニュー'!$N15))</f>
        <v>1284971.4285714286</v>
      </c>
      <c r="K11" s="690">
        <f>IF($C11="","",IF('4-1.手当等支給メニュー'!$R15="","",'4-1.手当等支給メニュー'!$R15))</f>
        <v>98000</v>
      </c>
      <c r="L11" s="671">
        <f>IF('4-1.手当等支給メニュー'!$AG15="","",IF($C11="","",'4-1.手当等支給メニュー'!$AG15))</f>
        <v>175819.02857142859</v>
      </c>
      <c r="M11" s="420">
        <f>IF('4-1.手当等支給メニュー'!$AP15="","",IF($C11="","",'4-1.手当等支給メニュー'!$AP15))</f>
        <v>4000</v>
      </c>
      <c r="N11" s="672">
        <f>IF('4-1.手当等支給メニュー'!$AV15="","",IF($C11="","",'4-1.手当等支給メニュー'!$AV15))</f>
        <v>15900</v>
      </c>
      <c r="O11" s="670">
        <f>IF('4-1.手当等支給メニュー'!$AW15="","",IF($C11="","",'4-1.手当等支給メニュー'!$AW15))</f>
        <v>1089252.4000000001</v>
      </c>
      <c r="P11" s="396" t="s">
        <v>305</v>
      </c>
      <c r="Q11" s="419"/>
      <c r="S11" s="405">
        <v>1000000</v>
      </c>
      <c r="T11" s="540" t="s">
        <v>301</v>
      </c>
      <c r="U11" s="536" t="s">
        <v>309</v>
      </c>
    </row>
    <row r="12" spans="2:21" ht="24" customHeight="1" x14ac:dyDescent="0.15">
      <c r="B12" s="660">
        <v>2</v>
      </c>
      <c r="C12" s="422">
        <f>IF('4-1.手当等支給メニュー'!$C16="","",'4-1.手当等支給メニュー'!$C16)</f>
        <v>1040</v>
      </c>
      <c r="D12" s="691">
        <f>IF('4-1.手当等支給メニュー'!$E16="","",IF($C12="","",'4-1.手当等支給メニュー'!$E16))</f>
        <v>14700</v>
      </c>
      <c r="E12" s="692">
        <f>IF('4-1.手当等支給メニュー'!$G16="","",IF($C12="","",'4-1.手当等支給メニュー'!$G16))</f>
        <v>0</v>
      </c>
      <c r="F12" s="669">
        <f>IF('4-1.手当等支給メニュー'!$I16="","",IF($C12="","",'4-1.手当等支給メニュー'!$I16))</f>
        <v>21</v>
      </c>
      <c r="G12" s="423">
        <f>IF('4-1.手当等支給メニュー'!$K16="","",IF($C12="","",'4-1.手当等支給メニュー'!$K16))</f>
        <v>94900</v>
      </c>
      <c r="H12" s="421">
        <f>IF('4-1.手当等支給メニュー'!$L16="","",IF($C12="","",'4-1.手当等支給メニュー'!$L16))</f>
        <v>109600</v>
      </c>
      <c r="I12" s="670">
        <f>IF('4-1.手当等支給メニュー'!$M16="","",IF($H12="","",'4-1.手当等支給メニュー'!$M16))</f>
        <v>111600</v>
      </c>
      <c r="J12" s="690">
        <f>IF('4-1.手当等支給メニュー'!$N16="","",IF($H12="","",'4-1.手当等支給メニュー'!$N16))</f>
        <v>1339200</v>
      </c>
      <c r="K12" s="690">
        <f>IF($C12="","",IF('4-1.手当等支給メニュー'!$R16="","",'4-1.手当等支給メニュー'!$R16))</f>
        <v>98000</v>
      </c>
      <c r="L12" s="674">
        <f>IF('4-1.手当等支給メニュー'!$AG16="","",IF($C12="","",'4-1.手当等支給メニュー'!$AG16))</f>
        <v>176144.40000000002</v>
      </c>
      <c r="M12" s="675">
        <f>IF('4-1.手当等支給メニュー'!$AP16="","",IF($C12="","",'4-1.手当等支給メニュー'!$AP16))</f>
        <v>6700</v>
      </c>
      <c r="N12" s="676">
        <f>IF('4-1.手当等支給メニュー'!$AV16="","",IF($C12="","",'4-1.手当等支給メニュー'!$AV16))</f>
        <v>21300</v>
      </c>
      <c r="O12" s="670">
        <f>IF('4-1.手当等支給メニュー'!$AW16="","",IF($C12="","",'4-1.手当等支給メニュー'!$AW16))</f>
        <v>1135055.6000000001</v>
      </c>
      <c r="P12" s="675">
        <f>IF($C12="","",IF($O12=0,0,$O12-$O11))</f>
        <v>45803.199999999953</v>
      </c>
      <c r="Q12" s="419"/>
      <c r="S12" s="385">
        <v>1000000</v>
      </c>
      <c r="T12" s="541" t="s">
        <v>302</v>
      </c>
      <c r="U12" s="537" t="s">
        <v>309</v>
      </c>
    </row>
    <row r="13" spans="2:21" ht="24" customHeight="1" x14ac:dyDescent="0.15">
      <c r="B13" s="661">
        <v>3</v>
      </c>
      <c r="C13" s="422">
        <f>IF('4-1.手当等支給メニュー'!$C17="","",'4-1.手当等支給メニュー'!$C17)</f>
        <v>1040</v>
      </c>
      <c r="D13" s="691">
        <f>IF('4-1.手当等支給メニュー'!$E17="","",IF($C13="","",'4-1.手当等支給メニュー'!$E17))</f>
        <v>15600</v>
      </c>
      <c r="E13" s="693">
        <f>IF('4-1.手当等支給メニュー'!$G17="","",IF($C13="","",'4-1.手当等支給メニュー'!$G17))</f>
        <v>0</v>
      </c>
      <c r="F13" s="673">
        <f>IF('4-1.手当等支給メニュー'!$I17="","",IF($C13="","",'4-1.手当等支給メニュー'!$I17))</f>
        <v>22</v>
      </c>
      <c r="G13" s="423">
        <f>IF('4-1.手当等支給メニュー'!$K17="","",IF($C13="","",'4-1.手当等支給メニュー'!$K17))</f>
        <v>99419.047619047618</v>
      </c>
      <c r="H13" s="421">
        <f>IF('4-1.手当等支給メニュー'!$L17="","",IF($C13="","",'4-1.手当等支給メニュー'!$L17))</f>
        <v>115019.04761904762</v>
      </c>
      <c r="I13" s="670">
        <f>IF('4-1.手当等支給メニュー'!$M17="","",IF($H13="","",'4-1.手当等支給メニュー'!$M17))</f>
        <v>117019.04761904762</v>
      </c>
      <c r="J13" s="690">
        <f>IF('4-1.手当等支給メニュー'!$N17="","",IF($H13="","",'4-1.手当等支給メニュー'!$N17))</f>
        <v>1404228.5714285714</v>
      </c>
      <c r="K13" s="690">
        <f>IF($C13="","",IF('4-1.手当等支給メニュー'!$R17="","",'4-1.手当等支給メニュー'!$R17))</f>
        <v>104000</v>
      </c>
      <c r="L13" s="674">
        <f>IF('4-1.手当等支給メニュー'!$AG17="","",IF($C13="","",'4-1.手当等支給メニュー'!$AG17))</f>
        <v>186826.97142857141</v>
      </c>
      <c r="M13" s="675">
        <f>IF('4-1.手当等支給メニュー'!$AP17="","",IF($C13="","",'4-1.手当等支給メニュー'!$AP17))</f>
        <v>9500</v>
      </c>
      <c r="N13" s="676">
        <f>IF('4-1.手当等支給メニュー'!$AV17="","",IF($C13="","",'4-1.手当等支給メニュー'!$AV17))</f>
        <v>26700</v>
      </c>
      <c r="O13" s="670">
        <f>IF('4-1.手当等支給メニュー'!$AW17="","",IF($C13="","",'4-1.手当等支給メニュー'!$AW17))</f>
        <v>1181201.5999999999</v>
      </c>
      <c r="P13" s="675">
        <f>IF($C13="","",IF($O13=0,0,$O13-$O12))</f>
        <v>46145.999999999767</v>
      </c>
      <c r="Q13" s="419"/>
      <c r="S13" s="385">
        <v>1030000</v>
      </c>
      <c r="T13" s="542" t="s">
        <v>304</v>
      </c>
      <c r="U13" s="537" t="s">
        <v>310</v>
      </c>
    </row>
    <row r="14" spans="2:21" ht="24" customHeight="1" x14ac:dyDescent="0.15">
      <c r="B14" s="660">
        <v>4</v>
      </c>
      <c r="C14" s="422">
        <f>IF('4-1.手当等支給メニュー'!$C18="","",'4-1.手当等支給メニュー'!$C18)</f>
        <v>1040</v>
      </c>
      <c r="D14" s="691">
        <f>IF('4-1.手当等支給メニュー'!$E18="","",IF($C14="","",'4-1.手当等支給メニュー'!$E18))</f>
        <v>0</v>
      </c>
      <c r="E14" s="693">
        <f>IF('4-1.手当等支給メニュー'!$G18="","",IF($C14="","",'4-1.手当等支給メニュー'!$G18))</f>
        <v>18900</v>
      </c>
      <c r="F14" s="673">
        <f>IF('4-1.手当等支給メニュー'!$I18="","",IF($C14="","",'4-1.手当等支給メニュー'!$I18))</f>
        <v>23</v>
      </c>
      <c r="G14" s="423">
        <f>IF('4-1.手当等支給メニュー'!$K18="","",IF($C14="","",'4-1.手当等支給メニュー'!$K18))</f>
        <v>103938.09523809522</v>
      </c>
      <c r="H14" s="421">
        <f>IF('4-1.手当等支給メニュー'!$L18="","",IF($C14="","",'4-1.手当等支給メニュー'!$L18))</f>
        <v>122838.09523809522</v>
      </c>
      <c r="I14" s="670">
        <f>IF('4-1.手当等支給メニュー'!$M18="","",IF($H14="","",'4-1.手当等支給メニュー'!$M18))</f>
        <v>124838.09523809522</v>
      </c>
      <c r="J14" s="690">
        <f>IF('4-1.手当等支給メニュー'!$N18="","",IF($H14="","",'4-1.手当等支給メニュー'!$N18))</f>
        <v>1498057.1428571427</v>
      </c>
      <c r="K14" s="690">
        <f>IF($C14="","",IF('4-1.手当等支給メニュー'!$R18="","",'4-1.手当等支給メニュー'!$R18))</f>
        <v>126000</v>
      </c>
      <c r="L14" s="674">
        <f>IF('4-1.手当等支給メニュー'!$AG18="","",IF($C14="","",'4-1.手当等支給メニュー'!$AG18))</f>
        <v>225128.74285714288</v>
      </c>
      <c r="M14" s="675">
        <f>IF('4-1.手当等支給メニュー'!$AP18="","",IF($C14="","",'4-1.手当等支給メニュー'!$AP18))</f>
        <v>12300</v>
      </c>
      <c r="N14" s="676">
        <f>IF('4-1.手当等支給メニュー'!$AV18="","",IF($C14="","",'4-1.手当等支給メニュー'!$AV18))</f>
        <v>32200</v>
      </c>
      <c r="O14" s="670">
        <f>IF('4-1.手当等支給メニュー'!$AW18="","",IF($C14="","",'4-1.手当等支給メニュー'!$AW18))</f>
        <v>1228428.3999999999</v>
      </c>
      <c r="P14" s="490">
        <f t="shared" ref="P14:P40" si="0">IF($C14="","",IF($O14=0,0,$O14-$O13))</f>
        <v>47226.800000000047</v>
      </c>
      <c r="Q14" s="419"/>
      <c r="S14" s="385">
        <v>1060000</v>
      </c>
      <c r="T14" s="543" t="s">
        <v>312</v>
      </c>
      <c r="U14" s="537" t="s">
        <v>313</v>
      </c>
    </row>
    <row r="15" spans="2:21" ht="24" customHeight="1" thickBot="1" x14ac:dyDescent="0.2">
      <c r="B15" s="661">
        <v>5</v>
      </c>
      <c r="C15" s="422">
        <f>IF('4-1.手当等支給メニュー'!$C19="","",'4-1.手当等支給メニュー'!$C19)</f>
        <v>1040</v>
      </c>
      <c r="D15" s="691">
        <f>IF('4-1.手当等支給メニュー'!$E19="","",IF($C15="","",'4-1.手当等支給メニュー'!$E19))</f>
        <v>0</v>
      </c>
      <c r="E15" s="693">
        <f>IF('4-1.手当等支給メニュー'!$G19="","",IF($C15="","",'4-1.手当等支給メニュー'!$G19))</f>
        <v>20100</v>
      </c>
      <c r="F15" s="673">
        <f>IF('4-1.手当等支給メニュー'!$I19="","",IF($C15="","",'4-1.手当等支給メニュー'!$I19))</f>
        <v>24</v>
      </c>
      <c r="G15" s="423">
        <f>IF('4-1.手当等支給メニュー'!$K19="","",IF($C15="","",'4-1.手当等支給メニュー'!$K19))</f>
        <v>108457.14285714284</v>
      </c>
      <c r="H15" s="421">
        <f>IF('4-1.手当等支給メニュー'!$L19="","",IF($C15="","",'4-1.手当等支給メニュー'!$L19))</f>
        <v>128557.14285714284</v>
      </c>
      <c r="I15" s="670">
        <f>IF('4-1.手当等支給メニュー'!$M19="","",IF($H15="","",'4-1.手当等支給メニュー'!$M19))</f>
        <v>130557.14285714284</v>
      </c>
      <c r="J15" s="690">
        <f>IF('4-1.手当等支給メニュー'!$N19="","",IF($H15="","",'4-1.手当等支給メニュー'!$N19))</f>
        <v>1566685.7142857141</v>
      </c>
      <c r="K15" s="690">
        <f>IF($C15="","",IF('4-1.手当等支給メニュー'!$R19="","",'4-1.手当等支給メニュー'!$R19))</f>
        <v>134000</v>
      </c>
      <c r="L15" s="674">
        <f>IF('4-1.手当等支給メニュー'!$AG19="","",IF($C15="","",'4-1.手当等支給メニュー'!$AG19))</f>
        <v>239263.71428571426</v>
      </c>
      <c r="M15" s="675">
        <f>IF('4-1.手当等支給メニュー'!$AP19="","",IF($C15="","",'4-1.手当等支給メニュー'!$AP19))</f>
        <v>15100</v>
      </c>
      <c r="N15" s="676">
        <f>IF('4-1.手当等支給メニュー'!$AV19="","",IF($C15="","",'4-1.手当等支給メニュー'!$AV19))</f>
        <v>37700</v>
      </c>
      <c r="O15" s="670">
        <f>IF('4-1.手当等支給メニュー'!$AW19="","",IF($C15="","",'4-1.手当等支給メニュー'!$AW19))</f>
        <v>1274621.9999999998</v>
      </c>
      <c r="P15" s="490">
        <f t="shared" si="0"/>
        <v>46193.59999999986</v>
      </c>
      <c r="Q15" s="419"/>
      <c r="S15" s="409">
        <v>1300000</v>
      </c>
      <c r="T15" s="544" t="s">
        <v>303</v>
      </c>
      <c r="U15" s="538" t="s">
        <v>311</v>
      </c>
    </row>
    <row r="16" spans="2:21" ht="24" customHeight="1" x14ac:dyDescent="0.15">
      <c r="B16" s="661">
        <v>6</v>
      </c>
      <c r="C16" s="422">
        <f>IF('4-1.手当等支給メニュー'!$C20="","",'4-1.手当等支給メニュー'!$C20)</f>
        <v>1040</v>
      </c>
      <c r="D16" s="691">
        <f>IF('4-1.手当等支給メニュー'!$E20="","",IF($C16="","",'4-1.手当等支給メニュー'!$E20))</f>
        <v>0</v>
      </c>
      <c r="E16" s="693">
        <f>IF('4-1.手当等支給メニュー'!$G20="","",IF($C16="","",'4-1.手当等支給メニュー'!$G20))</f>
        <v>20100</v>
      </c>
      <c r="F16" s="673">
        <f>IF('4-1.手当等支給メニュー'!$I20="","",IF($C16="","",'4-1.手当等支給メニュー'!$I20))</f>
        <v>25</v>
      </c>
      <c r="G16" s="423">
        <f>IF('4-1.手当等支給メニュー'!$K20="","",IF($C16="","",'4-1.手当等支給メニュー'!$K20))</f>
        <v>112976.19047619049</v>
      </c>
      <c r="H16" s="421">
        <f>IF('4-1.手当等支給メニュー'!$L20="","",IF($C16="","",'4-1.手当等支給メニュー'!$L20))</f>
        <v>133076.19047619047</v>
      </c>
      <c r="I16" s="670">
        <f>IF('4-1.手当等支給メニュー'!$M20="","",IF($H16="","",'4-1.手当等支給メニュー'!$M20))</f>
        <v>135076.19047619047</v>
      </c>
      <c r="J16" s="690">
        <f>IF('4-1.手当等支給メニュー'!$N20="","",IF($H16="","",'4-1.手当等支給メニュー'!$N20))</f>
        <v>1620914.2857142857</v>
      </c>
      <c r="K16" s="690">
        <f>IF($C16="","",IF('4-1.手当等支給メニュー'!$R20="","",'4-1.手当等支給メニュー'!$R20))</f>
        <v>134000</v>
      </c>
      <c r="L16" s="674">
        <f>IF('4-1.手当等支給メニュー'!$AG20="","",IF($C16="","",'4-1.手当等支給メニュー'!$AG20))</f>
        <v>239589.0857142857</v>
      </c>
      <c r="M16" s="675">
        <f>IF('4-1.手当等支給メニュー'!$AP20="","",IF($C16="","",'4-1.手当等支給メニュー'!$AP20))</f>
        <v>17900</v>
      </c>
      <c r="N16" s="676">
        <f>IF('4-1.手当等支給メニュー'!$AV20="","",IF($C16="","",'4-1.手当等支給メニュー'!$AV20))</f>
        <v>43100</v>
      </c>
      <c r="O16" s="670">
        <f>IF('4-1.手当等支給メニュー'!$AW20="","",IF($C16="","",'4-1.手当等支給メニュー'!$AW20))</f>
        <v>1320325.2</v>
      </c>
      <c r="P16" s="490">
        <f t="shared" si="0"/>
        <v>45703.200000000186</v>
      </c>
      <c r="Q16" s="419"/>
      <c r="R16" s="427"/>
      <c r="S16" s="392" t="s">
        <v>315</v>
      </c>
      <c r="T16" s="545"/>
      <c r="U16" s="535"/>
    </row>
    <row r="17" spans="2:22" ht="24" customHeight="1" x14ac:dyDescent="0.15">
      <c r="B17" s="661">
        <v>7</v>
      </c>
      <c r="C17" s="422">
        <f>IF('4-1.手当等支給メニュー'!$C21="","",'4-1.手当等支給メニュー'!$C21)</f>
        <v>1040</v>
      </c>
      <c r="D17" s="691">
        <f>IF('4-1.手当等支給メニュー'!$E21="","",IF($C17="","",'4-1.手当等支給メニュー'!$E21))</f>
        <v>0</v>
      </c>
      <c r="E17" s="693">
        <f>IF('4-1.手当等支給メニュー'!$G21="","",IF($C17="","",'4-1.手当等支給メニュー'!$G21))</f>
        <v>21300</v>
      </c>
      <c r="F17" s="673">
        <f>IF('4-1.手当等支給メニュー'!$I21="","",IF($C17="","",'4-1.手当等支給メニュー'!$I21))</f>
        <v>26</v>
      </c>
      <c r="G17" s="423">
        <f>IF('4-1.手当等支給メニュー'!$K21="","",IF($C17="","",'4-1.手当等支給メニュー'!$K21))</f>
        <v>117495.23809523811</v>
      </c>
      <c r="H17" s="424">
        <f>IF('4-1.手当等支給メニュー'!$L21="","",IF($C17="","",'4-1.手当等支給メニュー'!$L21))</f>
        <v>138795.23809523811</v>
      </c>
      <c r="I17" s="670">
        <f>IF('4-1.手当等支給メニュー'!$M21="","",IF($H17="","",'4-1.手当等支給メニュー'!$M21))</f>
        <v>140795.23809523811</v>
      </c>
      <c r="J17" s="690">
        <f>IF('4-1.手当等支給メニュー'!$N21="","",IF($H17="","",'4-1.手当等支給メニュー'!$N21))</f>
        <v>1689542.8571428573</v>
      </c>
      <c r="K17" s="690">
        <f>IF($C17="","",IF('4-1.手当等支給メニュー'!$R21="","",'4-1.手当等支給メニュー'!$R21))</f>
        <v>142000</v>
      </c>
      <c r="L17" s="674">
        <f>IF('4-1.手当等支給メニュー'!$AG21="","",IF($C17="","",'4-1.手当等支給メニュー'!$AG21))</f>
        <v>253724.05714285717</v>
      </c>
      <c r="M17" s="675">
        <f>IF('4-1.手当等支給メニュー'!$AP21="","",IF($C17="","",'4-1.手当等支給メニュー'!$AP21))</f>
        <v>19300</v>
      </c>
      <c r="N17" s="676">
        <f>IF('4-1.手当等支給メニュー'!$AV21="","",IF($C17="","",'4-1.手当等支給メニュー'!$AV21))</f>
        <v>46000</v>
      </c>
      <c r="O17" s="670">
        <f>IF('4-1.手当等支給メニュー'!$AW21="","",IF($C17="","",'4-1.手当等支給メニュー'!$AW21))</f>
        <v>1370518.8</v>
      </c>
      <c r="P17" s="490">
        <f t="shared" si="0"/>
        <v>50193.600000000093</v>
      </c>
      <c r="Q17" s="419"/>
      <c r="R17" s="427"/>
      <c r="S17" s="393" t="s">
        <v>316</v>
      </c>
      <c r="T17" s="546"/>
      <c r="U17" s="535"/>
    </row>
    <row r="18" spans="2:22" ht="24" customHeight="1" thickBot="1" x14ac:dyDescent="0.2">
      <c r="B18" s="660">
        <v>8</v>
      </c>
      <c r="C18" s="422">
        <f>IF('4-1.手当等支給メニュー'!$C22="","",'4-1.手当等支給メニュー'!$C22)</f>
        <v>1040</v>
      </c>
      <c r="D18" s="691">
        <f>IF('4-1.手当等支給メニュー'!$E22="","",IF($C18="","",'4-1.手当等支給メニュー'!$E22))</f>
        <v>0</v>
      </c>
      <c r="E18" s="693">
        <f>IF('4-1.手当等支給メニュー'!$G22="","",IF($C18="","",'4-1.手当等支給メニュー'!$G22))</f>
        <v>22500</v>
      </c>
      <c r="F18" s="673">
        <f>IF('4-1.手当等支給メニュー'!$I22="","",IF($C18="","",'4-1.手当等支給メニュー'!$I22))</f>
        <v>27</v>
      </c>
      <c r="G18" s="423">
        <f>IF('4-1.手当等支給メニュー'!$K22="","",IF($C18="","",'4-1.手当等支給メニュー'!$K22))</f>
        <v>122014.28571428572</v>
      </c>
      <c r="H18" s="424">
        <f>IF('4-1.手当等支給メニュー'!$L22="","",IF($C18="","",'4-1.手当等支給メニュー'!$L22))</f>
        <v>144514.28571428574</v>
      </c>
      <c r="I18" s="670">
        <f>IF('4-1.手当等支給メニュー'!$M22="","",IF($H18="","",'4-1.手当等支給メニュー'!$M22))</f>
        <v>146514.28571428574</v>
      </c>
      <c r="J18" s="690">
        <f>IF('4-1.手当等支給メニュー'!$N22="","",IF($H18="","",'4-1.手当等支給メニュー'!$N22))</f>
        <v>1758171.4285714289</v>
      </c>
      <c r="K18" s="690">
        <f>IF($C18="","",IF('4-1.手当等支給メニュー'!$R22="","",'4-1.手当等支給メニュー'!$R22))</f>
        <v>150000</v>
      </c>
      <c r="L18" s="674">
        <f>IF('4-1.手当等支給メニュー'!$AG22="","",IF($C18="","",'4-1.手当等支給メニュー'!$AG22))</f>
        <v>267859.02857142856</v>
      </c>
      <c r="M18" s="675">
        <f>IF('4-1.手当等支給メニュー'!$AP22="","",IF($C18="","",'4-1.手当等支給メニュー'!$AP22))</f>
        <v>20700</v>
      </c>
      <c r="N18" s="676">
        <f>IF('4-1.手当等支給メニュー'!$AV22="","",IF($C18="","",'4-1.手当等支給メニュー'!$AV22))</f>
        <v>48700</v>
      </c>
      <c r="O18" s="670">
        <f>IF('4-1.手当等支給メニュー'!$AW22="","",IF($C18="","",'4-1.手当等支給メニュー'!$AW22))</f>
        <v>1420912.4000000004</v>
      </c>
      <c r="P18" s="490">
        <f t="shared" si="0"/>
        <v>50393.600000000326</v>
      </c>
      <c r="Q18" s="419"/>
      <c r="R18" s="427"/>
      <c r="S18" s="394" t="s">
        <v>314</v>
      </c>
      <c r="T18" s="547">
        <f>IF('4-1.手当等支給メニュー'!$K$2="","",'4-1.手当等支給メニュー'!$K$2)</f>
        <v>3</v>
      </c>
      <c r="U18" s="535"/>
    </row>
    <row r="19" spans="2:22" ht="24" customHeight="1" x14ac:dyDescent="0.15">
      <c r="B19" s="661">
        <v>9</v>
      </c>
      <c r="C19" s="422">
        <f>IF('4-1.手当等支給メニュー'!$C23="","",'4-1.手当等支給メニュー'!$C23)</f>
        <v>1040</v>
      </c>
      <c r="D19" s="691">
        <f>IF('4-1.手当等支給メニュー'!$E23="","",IF($C19="","",'4-1.手当等支給メニュー'!$E23))</f>
        <v>0</v>
      </c>
      <c r="E19" s="693">
        <f>IF('4-1.手当等支給メニュー'!$G23="","",IF($C19="","",'4-1.手当等支給メニュー'!$G23))</f>
        <v>22500</v>
      </c>
      <c r="F19" s="673">
        <f>IF('4-1.手当等支給メニュー'!$I23="","",IF($C19="","",'4-1.手当等支給メニュー'!$I23))</f>
        <v>28</v>
      </c>
      <c r="G19" s="423">
        <f>IF('4-1.手当等支給メニュー'!$K23="","",IF($C19="","",'4-1.手当等支給メニュー'!$K23))</f>
        <v>126533.33333333333</v>
      </c>
      <c r="H19" s="424">
        <f>IF('4-1.手当等支給メニュー'!$L23="","",IF($C19="","",'4-1.手当等支給メニュー'!$L23))</f>
        <v>149033.33333333331</v>
      </c>
      <c r="I19" s="670">
        <f>IF('4-1.手当等支給メニュー'!$M23="","",IF($H19="","",'4-1.手当等支給メニュー'!$M23))</f>
        <v>151033.33333333331</v>
      </c>
      <c r="J19" s="690">
        <f>IF('4-1.手当等支給メニュー'!$N23="","",IF($H19="","",'4-1.手当等支給メニュー'!$N23))</f>
        <v>1812399.9999999998</v>
      </c>
      <c r="K19" s="690">
        <f>IF($C19="","",IF('4-1.手当等支給メニュー'!$R23="","",'4-1.手当等支給メニュー'!$R23))</f>
        <v>150000</v>
      </c>
      <c r="L19" s="674">
        <f>IF('4-1.手当等支給メニュー'!$AG23="","",IF($C19="","",'4-1.手当等支給メニュー'!$AG23))</f>
        <v>268184.40000000002</v>
      </c>
      <c r="M19" s="675">
        <f>IF('4-1.手当等支給メニュー'!$AP23="","",IF($C19="","",'4-1.手当等支給メニュー'!$AP23))</f>
        <v>22400</v>
      </c>
      <c r="N19" s="676">
        <f>IF('4-1.手当等支給メニュー'!$AV23="","",IF($C19="","",'4-1.手当等支給メニュー'!$AV23))</f>
        <v>52000</v>
      </c>
      <c r="O19" s="670">
        <f>IF('4-1.手当等支給メニュー'!$AW23="","",IF($C19="","",'4-1.手当等支給メニュー'!$AW23))</f>
        <v>1469815.5999999996</v>
      </c>
      <c r="P19" s="490">
        <f>IF($C19="","",IF($O19=0,0,$O19-$O18))</f>
        <v>48903.199999999255</v>
      </c>
      <c r="Q19" s="419"/>
      <c r="S19" s="470"/>
    </row>
    <row r="20" spans="2:22" ht="24" customHeight="1" x14ac:dyDescent="0.15">
      <c r="B20" s="661">
        <v>10</v>
      </c>
      <c r="C20" s="422">
        <f>IF('4-1.手当等支給メニュー'!$C24="","",'4-1.手当等支給メニュー'!$C24)</f>
        <v>1040</v>
      </c>
      <c r="D20" s="691">
        <f>IF('4-1.手当等支給メニュー'!$E24="","",IF($C20="","",'4-1.手当等支給メニュー'!$E24))</f>
        <v>0</v>
      </c>
      <c r="E20" s="693">
        <f>IF('4-1.手当等支給メニュー'!$G24="","",IF($C20="","",'4-1.手当等支給メニュー'!$G24))</f>
        <v>24000</v>
      </c>
      <c r="F20" s="673">
        <f>IF('4-1.手当等支給メニュー'!$I24="","",IF($C20="","",'4-1.手当等支給メニュー'!$I24))</f>
        <v>29</v>
      </c>
      <c r="G20" s="423">
        <f>IF('4-1.手当等支給メニュー'!$K24="","",IF($C20="","",'4-1.手当等支給メニュー'!$K24))</f>
        <v>131052.38095238095</v>
      </c>
      <c r="H20" s="424">
        <f>IF('4-1.手当等支給メニュー'!$L24="","",IF($C20="","",'4-1.手当等支給メニュー'!$L24))</f>
        <v>155052.38095238095</v>
      </c>
      <c r="I20" s="670">
        <f>IF('4-1.手当等支給メニュー'!$M24="","",IF($H20="","",'4-1.手当等支給メニュー'!$M24))</f>
        <v>157052.38095238095</v>
      </c>
      <c r="J20" s="690">
        <f>IF('4-1.手当等支給メニュー'!$N24="","",IF($H20="","",'4-1.手当等支給メニュー'!$N24))</f>
        <v>1884628.5714285714</v>
      </c>
      <c r="K20" s="690">
        <f>IF($C20="","",IF('4-1.手当等支給メニュー'!$R24="","",'4-1.手当等支給メニュー'!$R24))</f>
        <v>160000</v>
      </c>
      <c r="L20" s="674">
        <f>IF('4-1.手当等支給メニュー'!$AG24="","",IF($C20="","",'4-1.手当等支給メニュー'!$AG24))</f>
        <v>285771.77142857143</v>
      </c>
      <c r="M20" s="675">
        <f>IF('4-1.手当等支給メニュー'!$AP24="","",IF($C20="","",'4-1.手当等支給メニュー'!$AP24))</f>
        <v>24100</v>
      </c>
      <c r="N20" s="676">
        <f>IF('4-1.手当等支給メニュー'!$AV24="","",IF($C20="","",'4-1.手当等支給メニュー'!$AV24))</f>
        <v>55300</v>
      </c>
      <c r="O20" s="670">
        <f>IF('4-1.手当等支給メニュー'!$AW24="","",IF($C20="","",'4-1.手当等支給メニュー'!$AW24))</f>
        <v>1519456.7999999998</v>
      </c>
      <c r="P20" s="490">
        <f t="shared" si="0"/>
        <v>49641.200000000186</v>
      </c>
      <c r="Q20" s="419"/>
      <c r="S20" s="418"/>
      <c r="T20" s="19"/>
      <c r="U20" s="19"/>
      <c r="V20" s="19"/>
    </row>
    <row r="21" spans="2:22" ht="24" customHeight="1" x14ac:dyDescent="0.15">
      <c r="B21" s="661">
        <v>11</v>
      </c>
      <c r="C21" s="422">
        <f>IF('4-1.手当等支給メニュー'!$C25="","",'4-1.手当等支給メニュー'!$C25)</f>
        <v>1040</v>
      </c>
      <c r="D21" s="691">
        <f>IF('4-1.手当等支給メニュー'!$E25="","",IF($C21="","",'4-1.手当等支給メニュー'!$E25))</f>
        <v>0</v>
      </c>
      <c r="E21" s="693">
        <f>IF('4-1.手当等支給メニュー'!$G25="","",IF($C21="","",'4-1.手当等支給メニュー'!$G25))</f>
        <v>24000</v>
      </c>
      <c r="F21" s="673">
        <f>IF('4-1.手当等支給メニュー'!$I25="","",IF($C21="","",'4-1.手当等支給メニュー'!$I25))</f>
        <v>30</v>
      </c>
      <c r="G21" s="423">
        <f>IF('4-1.手当等支給メニュー'!$K25="","",IF($C21="","",'4-1.手当等支給メニュー'!$K25))</f>
        <v>135571.42857142855</v>
      </c>
      <c r="H21" s="424">
        <f>IF('4-1.手当等支給メニュー'!$L25="","",IF($C21="","",'4-1.手当等支給メニュー'!$L25))</f>
        <v>159571.42857142855</v>
      </c>
      <c r="I21" s="670">
        <f>IF('4-1.手当等支給メニュー'!$M25="","",IF($H21="","",'4-1.手当等支給メニュー'!$M25))</f>
        <v>161571.42857142855</v>
      </c>
      <c r="J21" s="690">
        <f>IF('4-1.手当等支給メニュー'!$N25="","",IF($H21="","",'4-1.手当等支給メニュー'!$N25))</f>
        <v>1938857.1428571427</v>
      </c>
      <c r="K21" s="690">
        <f>IF($C21="","",IF('4-1.手当等支給メニュー'!$R25="","",'4-1.手当等支給メニュー'!$R25))</f>
        <v>160000</v>
      </c>
      <c r="L21" s="674">
        <f>IF('4-1.手当等支給メニュー'!$AG25="","",IF($C21="","",'4-1.手当等支給メニュー'!$AG25))</f>
        <v>286097.14285714284</v>
      </c>
      <c r="M21" s="675">
        <f>IF('4-1.手当等支給メニュー'!$AP25="","",IF($C21="","",'4-1.手当等支給メニュー'!$AP25))</f>
        <v>26000</v>
      </c>
      <c r="N21" s="676">
        <f>IF('4-1.手当等支給メニュー'!$AV25="","",IF($C21="","",'4-1.手当等支給メニュー'!$AV25))</f>
        <v>59100</v>
      </c>
      <c r="O21" s="670">
        <f>IF('4-1.手当等支給メニュー'!$AW25="","",IF($C21="","",'4-1.手当等支給メニュー'!$AW25))</f>
        <v>1567660</v>
      </c>
      <c r="P21" s="490">
        <f t="shared" si="0"/>
        <v>48203.200000000186</v>
      </c>
      <c r="Q21" s="419"/>
      <c r="S21" s="418"/>
      <c r="T21" s="19"/>
      <c r="U21" s="19"/>
    </row>
    <row r="22" spans="2:22" ht="24" customHeight="1" x14ac:dyDescent="0.15">
      <c r="B22" s="660">
        <v>12</v>
      </c>
      <c r="C22" s="422">
        <f>IF('4-1.手当等支給メニュー'!$C26="","",'4-1.手当等支給メニュー'!$C26)</f>
        <v>1040</v>
      </c>
      <c r="D22" s="691">
        <f>IF('4-1.手当等支給メニュー'!$E26="","",IF($C22="","",'4-1.手当等支給メニュー'!$E26))</f>
        <v>0</v>
      </c>
      <c r="E22" s="693">
        <f>IF('4-1.手当等支給メニュー'!$G26="","",IF($C22="","",'4-1.手当等支給メニュー'!$G26))</f>
        <v>25500</v>
      </c>
      <c r="F22" s="673">
        <f>IF('4-1.手当等支給メニュー'!$I26="","",IF($C22="","",'4-1.手当等支給メニュー'!$I26))</f>
        <v>31</v>
      </c>
      <c r="G22" s="423">
        <f>IF('4-1.手当等支給メニュー'!$K26="","",IF($C22="","",'4-1.手当等支給メニュー'!$K26))</f>
        <v>140090.47619047618</v>
      </c>
      <c r="H22" s="424">
        <f>IF('4-1.手当等支給メニュー'!$L26="","",IF($C22="","",'4-1.手当等支給メニュー'!$L26))</f>
        <v>165590.47619047618</v>
      </c>
      <c r="I22" s="670">
        <f>IF('4-1.手当等支給メニュー'!$M26="","",IF($H22="","",'4-1.手当等支給メニュー'!$M26))</f>
        <v>167590.47619047618</v>
      </c>
      <c r="J22" s="690">
        <f>IF('4-1.手当等支給メニュー'!$N26="","",IF($H22="","",'4-1.手当等支給メニュー'!$N26))</f>
        <v>2011085.7142857141</v>
      </c>
      <c r="K22" s="690">
        <f>IF($C22="","",IF('4-1.手当等支給メニュー'!$R26="","",'4-1.手当等支給メニュー'!$R26))</f>
        <v>170000</v>
      </c>
      <c r="L22" s="674">
        <f>IF('4-1.手当等支給メニュー'!$AG26="","",IF($C22="","",'4-1.手当等支給メニュー'!$AG26))</f>
        <v>303684.51428571431</v>
      </c>
      <c r="M22" s="675">
        <f>IF('4-1.手当等支給メニュー'!$AP26="","",IF($C22="","",'4-1.手当等支給メニュー'!$AP26))</f>
        <v>27700</v>
      </c>
      <c r="N22" s="676">
        <f>IF('4-1.手当等支給メニュー'!$AV26="","",IF($C22="","",'4-1.手当等支給メニュー'!$AV26))</f>
        <v>62400</v>
      </c>
      <c r="O22" s="670">
        <f>IF('4-1.手当等支給メニュー'!$AW26="","",IF($C22="","",'4-1.手当等支給メニュー'!$AW26))</f>
        <v>1617301.1999999997</v>
      </c>
      <c r="P22" s="490">
        <f t="shared" si="0"/>
        <v>49641.199999999721</v>
      </c>
      <c r="Q22" s="419"/>
      <c r="T22" s="19"/>
      <c r="U22" s="19"/>
    </row>
    <row r="23" spans="2:22" ht="24" customHeight="1" x14ac:dyDescent="0.15">
      <c r="B23" s="661">
        <v>13</v>
      </c>
      <c r="C23" s="422">
        <f>IF('4-1.手当等支給メニュー'!$C27="","",'4-1.手当等支給メニュー'!$C27)</f>
        <v>1040</v>
      </c>
      <c r="D23" s="691">
        <f>IF('4-1.手当等支給メニュー'!$E27="","",IF($C23="","",'4-1.手当等支給メニュー'!$E27))</f>
        <v>0</v>
      </c>
      <c r="E23" s="693">
        <f>IF('4-1.手当等支給メニュー'!$G27="","",IF($C23="","",'4-1.手当等支給メニュー'!$G27))</f>
        <v>25500</v>
      </c>
      <c r="F23" s="673">
        <f>IF('4-1.手当等支給メニュー'!$I27="","",IF($C23="","",'4-1.手当等支給メニュー'!$I27))</f>
        <v>32</v>
      </c>
      <c r="G23" s="423">
        <f>IF('4-1.手当等支給メニュー'!$K27="","",IF($C23="","",'4-1.手当等支給メニュー'!$K27))</f>
        <v>144609.52380952382</v>
      </c>
      <c r="H23" s="424">
        <f>IF('4-1.手当等支給メニュー'!$L27="","",IF($C23="","",'4-1.手当等支給メニュー'!$L27))</f>
        <v>170109.52380952382</v>
      </c>
      <c r="I23" s="670">
        <f>IF('4-1.手当等支給メニュー'!$M27="","",IF($H23="","",'4-1.手当等支給メニュー'!$M27))</f>
        <v>172109.52380952382</v>
      </c>
      <c r="J23" s="690">
        <f>IF('4-1.手当等支給メニュー'!$N27="","",IF($H23="","",'4-1.手当等支給メニュー'!$N27))</f>
        <v>2065314.2857142859</v>
      </c>
      <c r="K23" s="690">
        <f>IF($C23="","",IF('4-1.手当等支給メニュー'!$R27="","",'4-1.手当等支給メニュー'!$R27))</f>
        <v>170000</v>
      </c>
      <c r="L23" s="674">
        <f>IF('4-1.手当等支給メニュー'!$AG27="","",IF($C23="","",'4-1.手当等支給メニュー'!$AG27))</f>
        <v>304009.88571428572</v>
      </c>
      <c r="M23" s="675">
        <f>IF('4-1.手当等支給メニュー'!$AP27="","",IF($C23="","",'4-1.手当等支給メニュー'!$AP27))</f>
        <v>29600</v>
      </c>
      <c r="N23" s="676">
        <f>IF('4-1.手当等支給メニュー'!$AV27="","",IF($C23="","",'4-1.手当等支給メニュー'!$AV27))</f>
        <v>66100</v>
      </c>
      <c r="O23" s="670">
        <f>IF('4-1.手当等支給メニュー'!$AW27="","",IF($C23="","",'4-1.手当等支給メニュー'!$AW27))</f>
        <v>1665604.4000000001</v>
      </c>
      <c r="P23" s="490">
        <f t="shared" si="0"/>
        <v>48303.200000000419</v>
      </c>
      <c r="Q23" s="419"/>
      <c r="S23" s="19"/>
      <c r="T23" s="19"/>
      <c r="U23" s="19"/>
    </row>
    <row r="24" spans="2:22" ht="24" customHeight="1" x14ac:dyDescent="0.15">
      <c r="B24" s="661">
        <v>14</v>
      </c>
      <c r="C24" s="422">
        <f>IF('4-1.手当等支給メニュー'!$C28="","",'4-1.手当等支給メニュー'!$C28)</f>
        <v>1040</v>
      </c>
      <c r="D24" s="691">
        <f>IF('4-1.手当等支給メニュー'!$E28="","",IF($C24="","",'4-1.手当等支給メニュー'!$E28))</f>
        <v>0</v>
      </c>
      <c r="E24" s="693">
        <f>IF('4-1.手当等支給メニュー'!$G28="","",IF($C24="","",'4-1.手当等支給メニュー'!$G28))</f>
        <v>27000</v>
      </c>
      <c r="F24" s="673">
        <f>IF('4-1.手当等支給メニュー'!$I28="","",IF($C24="","",'4-1.手当等支給メニュー'!$I28))</f>
        <v>33</v>
      </c>
      <c r="G24" s="423">
        <f>IF('4-1.手当等支給メニュー'!$K28="","",IF($C24="","",'4-1.手当等支給メニュー'!$K28))</f>
        <v>149128.57142857145</v>
      </c>
      <c r="H24" s="424">
        <f>IF('4-1.手当等支給メニュー'!$L28="","",IF($C24="","",'4-1.手当等支給メニュー'!$L28))</f>
        <v>176128.57142857145</v>
      </c>
      <c r="I24" s="670">
        <f>IF('4-1.手当等支給メニュー'!$M28="","",IF($H24="","",'4-1.手当等支給メニュー'!$M28))</f>
        <v>178128.57142857145</v>
      </c>
      <c r="J24" s="690">
        <f>IF('4-1.手当等支給メニュー'!$N28="","",IF($H24="","",'4-1.手当等支給メニュー'!$N28))</f>
        <v>2137542.8571428573</v>
      </c>
      <c r="K24" s="690">
        <f>IF($C24="","",IF('4-1.手当等支給メニュー'!$R28="","",'4-1.手当等支給メニュー'!$R28))</f>
        <v>180000</v>
      </c>
      <c r="L24" s="674">
        <f>IF('4-1.手当等支給メニュー'!$AG28="","",IF($C24="","",'4-1.手当等支給メニュー'!$AG28))</f>
        <v>321597.25714285712</v>
      </c>
      <c r="M24" s="675">
        <f>IF('4-1.手当等支給メニュー'!$AP28="","",IF($C24="","",'4-1.手当等支給メニュー'!$AP28))</f>
        <v>31300</v>
      </c>
      <c r="N24" s="676">
        <f>IF('4-1.手当等支給メニュー'!$AV28="","",IF($C24="","",'4-1.手当等支給メニュー'!$AV28))</f>
        <v>69400</v>
      </c>
      <c r="O24" s="670">
        <f>IF('4-1.手当等支給メニュー'!$AW28="","",IF($C24="","",'4-1.手当等支給メニュー'!$AW28))</f>
        <v>1715245.6</v>
      </c>
      <c r="P24" s="490">
        <f t="shared" si="0"/>
        <v>49641.199999999953</v>
      </c>
      <c r="Q24" s="419"/>
      <c r="S24" s="19"/>
    </row>
    <row r="25" spans="2:22" ht="24" customHeight="1" x14ac:dyDescent="0.15">
      <c r="B25" s="661">
        <v>15</v>
      </c>
      <c r="C25" s="422">
        <f>IF('4-1.手当等支給メニュー'!$C29="","",'4-1.手当等支給メニュー'!$C29)</f>
        <v>1040</v>
      </c>
      <c r="D25" s="691">
        <f>IF('4-1.手当等支給メニュー'!$E29="","",IF($C25="","",'4-1.手当等支給メニュー'!$E29))</f>
        <v>0</v>
      </c>
      <c r="E25" s="693">
        <f>IF('4-1.手当等支給メニュー'!$G29="","",IF($C25="","",'4-1.手当等支給メニュー'!$G29))</f>
        <v>27000</v>
      </c>
      <c r="F25" s="673">
        <f>IF('4-1.手当等支給メニュー'!$I29="","",IF($C25="","",'4-1.手当等支給メニュー'!$I29))</f>
        <v>34</v>
      </c>
      <c r="G25" s="423">
        <f>IF('4-1.手当等支給メニュー'!$K29="","",IF($C25="","",'4-1.手当等支給メニュー'!$K29))</f>
        <v>153647.61904761905</v>
      </c>
      <c r="H25" s="424">
        <f>IF('4-1.手当等支給メニュー'!$L29="","",IF($C25="","",'4-1.手当等支給メニュー'!$L29))</f>
        <v>180647.61904761905</v>
      </c>
      <c r="I25" s="670">
        <f>IF('4-1.手当等支給メニュー'!$M29="","",IF($H25="","",'4-1.手当等支給メニュー'!$M29))</f>
        <v>182647.61904761905</v>
      </c>
      <c r="J25" s="690">
        <f>IF('4-1.手当等支給メニュー'!$N29="","",IF($H25="","",'4-1.手当等支給メニュー'!$N29))</f>
        <v>2191771.4285714286</v>
      </c>
      <c r="K25" s="690">
        <f>IF($C25="","",IF('4-1.手当等支給メニュー'!$R29="","",'4-1.手当等支給メニュー'!$R29))</f>
        <v>180000</v>
      </c>
      <c r="L25" s="674">
        <f>IF('4-1.手当等支給メニュー'!$AG29="","",IF($C25="","",'4-1.手当等支給メニュー'!$AG29))</f>
        <v>321922.62857142859</v>
      </c>
      <c r="M25" s="675">
        <f>IF('4-1.手当等支給メニュー'!$AP29="","",IF($C25="","",'4-1.手当等支給メニュー'!$AP29))</f>
        <v>33200</v>
      </c>
      <c r="N25" s="676">
        <f>IF('4-1.手当等支給メニュー'!$AV29="","",IF($C25="","",'4-1.手当等支給メニュー'!$AV29))</f>
        <v>73200</v>
      </c>
      <c r="O25" s="670">
        <f>IF('4-1.手当等支給メニュー'!$AW29="","",IF($C25="","",'4-1.手当等支給メニュー'!$AW29))</f>
        <v>1763448.8</v>
      </c>
      <c r="P25" s="490">
        <f t="shared" si="0"/>
        <v>48203.199999999953</v>
      </c>
      <c r="Q25" s="419"/>
      <c r="S25" s="19"/>
    </row>
    <row r="26" spans="2:22" ht="24" customHeight="1" x14ac:dyDescent="0.15">
      <c r="B26" s="660">
        <v>16</v>
      </c>
      <c r="C26" s="422">
        <f>IF('4-1.手当等支給メニュー'!$C30="","",'4-1.手当等支給メニュー'!$C30)</f>
        <v>1040</v>
      </c>
      <c r="D26" s="691">
        <f>IF('4-1.手当等支給メニュー'!$E30="","",IF($C26="","",'4-1.手当等支給メニュー'!$E30))</f>
        <v>0</v>
      </c>
      <c r="E26" s="693">
        <f>IF('4-1.手当等支給メニュー'!$G30="","",IF($C26="","",'4-1.手当等支給メニュー'!$G30))</f>
        <v>28500</v>
      </c>
      <c r="F26" s="673">
        <f>IF('4-1.手当等支給メニュー'!$I30="","",IF($C26="","",'4-1.手当等支給メニュー'!$I30))</f>
        <v>35</v>
      </c>
      <c r="G26" s="423">
        <f>IF('4-1.手当等支給メニュー'!$K30="","",IF($C26="","",'4-1.手当等支給メニュー'!$K30))</f>
        <v>158166.66666666666</v>
      </c>
      <c r="H26" s="424">
        <f>IF('4-1.手当等支給メニュー'!$L30="","",IF($C26="","",'4-1.手当等支給メニュー'!$L30))</f>
        <v>186666.66666666666</v>
      </c>
      <c r="I26" s="670">
        <f>IF('4-1.手当等支給メニュー'!$M30="","",IF($H26="","",'4-1.手当等支給メニュー'!$M30))</f>
        <v>188666.66666666666</v>
      </c>
      <c r="J26" s="690">
        <f>IF('4-1.手当等支給メニュー'!$N30="","",IF($H26="","",'4-1.手当等支給メニュー'!$N30))</f>
        <v>2264000</v>
      </c>
      <c r="K26" s="690">
        <f>IF($C26="","",IF('4-1.手当等支給メニュー'!$R30="","",'4-1.手当等支給メニュー'!$R30))</f>
        <v>190000</v>
      </c>
      <c r="L26" s="674">
        <f>IF('4-1.手当等支給メニュー'!$AG30="","",IF($C26="","",'4-1.手当等支給メニュー'!$AG30))</f>
        <v>339510</v>
      </c>
      <c r="M26" s="675">
        <f>IF('4-1.手当等支給メニュー'!$AP30="","",IF($C26="","",'4-1.手当等支給メニュー'!$AP30))</f>
        <v>34900</v>
      </c>
      <c r="N26" s="676">
        <f>IF('4-1.手当等支給メニュー'!$AV30="","",IF($C26="","",'4-1.手当等支給メニュー'!$AV30))</f>
        <v>76500</v>
      </c>
      <c r="O26" s="670">
        <f>IF('4-1.手当等支給メニュー'!$AW30="","",IF($C26="","",'4-1.手当等支給メニュー'!$AW30))</f>
        <v>1813090</v>
      </c>
      <c r="P26" s="490">
        <f t="shared" si="0"/>
        <v>49641.199999999953</v>
      </c>
      <c r="Q26" s="419"/>
      <c r="S26" s="19"/>
    </row>
    <row r="27" spans="2:22" ht="24" customHeight="1" x14ac:dyDescent="0.15">
      <c r="B27" s="661">
        <v>17</v>
      </c>
      <c r="C27" s="422">
        <f>IF('4-1.手当等支給メニュー'!$C31="","",'4-1.手当等支給メニュー'!$C31)</f>
        <v>1040</v>
      </c>
      <c r="D27" s="691">
        <f>IF('4-1.手当等支給メニュー'!$E31="","",IF($C27="","",'4-1.手当等支給メニュー'!$E31))</f>
        <v>0</v>
      </c>
      <c r="E27" s="693">
        <f>IF('4-1.手当等支給メニュー'!$G31="","",IF($C27="","",'4-1.手当等支給メニュー'!$G31))</f>
        <v>30000</v>
      </c>
      <c r="F27" s="673">
        <f>IF('4-1.手当等支給メニュー'!$I31="","",IF($C27="","",'4-1.手当等支給メニュー'!$I31))</f>
        <v>36</v>
      </c>
      <c r="G27" s="423">
        <f>IF('4-1.手当等支給メニュー'!$K31="","",IF($C27="","",'4-1.手当等支給メニュー'!$K31))</f>
        <v>162685.71428571429</v>
      </c>
      <c r="H27" s="424">
        <f>IF('4-1.手当等支給メニュー'!$L31="","",IF($C27="","",'4-1.手当等支給メニュー'!$L31))</f>
        <v>192685.71428571429</v>
      </c>
      <c r="I27" s="670">
        <f>IF('4-1.手当等支給メニュー'!$M31="","",IF($H27="","",'4-1.手当等支給メニュー'!$M31))</f>
        <v>194685.71428571429</v>
      </c>
      <c r="J27" s="690">
        <f>IF('4-1.手当等支給メニュー'!$N31="","",IF($H27="","",'4-1.手当等支給メニュー'!$N31))</f>
        <v>2336228.5714285714</v>
      </c>
      <c r="K27" s="690">
        <f>IF($C27="","",IF('4-1.手当等支給メニュー'!$R31="","",'4-1.手当等支給メニュー'!$R31))</f>
        <v>200000</v>
      </c>
      <c r="L27" s="674">
        <f>IF('4-1.手当等支給メニュー'!$AG31="","",IF($C27="","",'4-1.手当等支給メニュー'!$AG31))</f>
        <v>357097.37142857141</v>
      </c>
      <c r="M27" s="675">
        <f>IF('4-1.手当等支給メニュー'!$AP31="","",IF($C27="","",'4-1.手当等支給メニュー'!$AP31))</f>
        <v>36600</v>
      </c>
      <c r="N27" s="676">
        <f>IF('4-1.手当等支給メニュー'!$AV31="","",IF($C27="","",'4-1.手当等支給メニュー'!$AV31))</f>
        <v>79800</v>
      </c>
      <c r="O27" s="670">
        <f>IF('4-1.手当等支給メニュー'!$AW31="","",IF($C27="","",'4-1.手当等支給メニュー'!$AW31))</f>
        <v>1862731.2</v>
      </c>
      <c r="P27" s="490">
        <f t="shared" si="0"/>
        <v>49641.199999999953</v>
      </c>
      <c r="Q27" s="419"/>
      <c r="S27" s="19"/>
    </row>
    <row r="28" spans="2:22" ht="24" customHeight="1" x14ac:dyDescent="0.15">
      <c r="B28" s="661">
        <v>18</v>
      </c>
      <c r="C28" s="422">
        <f>IF('4-1.手当等支給メニュー'!$C32="","",'4-1.手当等支給メニュー'!$C32)</f>
        <v>1040</v>
      </c>
      <c r="D28" s="691">
        <f>IF('4-1.手当等支給メニュー'!$E32="","",IF($C28="","",'4-1.手当等支給メニュー'!$E32))</f>
        <v>0</v>
      </c>
      <c r="E28" s="693">
        <f>IF('4-1.手当等支給メニュー'!$G32="","",IF($C28="","",'4-1.手当等支給メニュー'!$G32))</f>
        <v>30000</v>
      </c>
      <c r="F28" s="673">
        <f>IF('4-1.手当等支給メニュー'!$I32="","",IF($C28="","",'4-1.手当等支給メニュー'!$I32))</f>
        <v>37</v>
      </c>
      <c r="G28" s="423">
        <f>IF('4-1.手当等支給メニュー'!$K32="","",IF($C28="","",'4-1.手当等支給メニュー'!$K32))</f>
        <v>167204.76190476189</v>
      </c>
      <c r="H28" s="424">
        <f>IF('4-1.手当等支給メニュー'!$L32="","",IF($C28="","",'4-1.手当等支給メニュー'!$L32))</f>
        <v>197204.76190476189</v>
      </c>
      <c r="I28" s="670">
        <f>IF('4-1.手当等支給メニュー'!$M32="","",IF($H28="","",'4-1.手当等支給メニュー'!$M32))</f>
        <v>199204.76190476189</v>
      </c>
      <c r="J28" s="690">
        <f>IF('4-1.手当等支給メニュー'!$N32="","",IF($H28="","",'4-1.手当等支給メニュー'!$N32))</f>
        <v>2390457.1428571427</v>
      </c>
      <c r="K28" s="690">
        <f>IF($C28="","",IF('4-1.手当等支給メニュー'!$R32="","",'4-1.手当等支給メニュー'!$R32))</f>
        <v>200000</v>
      </c>
      <c r="L28" s="674">
        <f>IF('4-1.手当等支給メニュー'!$AG32="","",IF($C28="","",'4-1.手当等支給メニュー'!$AG32))</f>
        <v>357422.74285714288</v>
      </c>
      <c r="M28" s="675">
        <f>IF('4-1.手当等支給メニュー'!$AP32="","",IF($C28="","",'4-1.手当等支給メニュー'!$AP32))</f>
        <v>38500</v>
      </c>
      <c r="N28" s="676">
        <f>IF('4-1.手当等支給メニュー'!$AV32="","",IF($C28="","",'4-1.手当等支給メニュー'!$AV32))</f>
        <v>83500</v>
      </c>
      <c r="O28" s="670">
        <f>IF('4-1.手当等支給メニュー'!$AW32="","",IF($C28="","",'4-1.手当等支給メニュー'!$AW32))</f>
        <v>1911034.4</v>
      </c>
      <c r="P28" s="490">
        <f t="shared" si="0"/>
        <v>48303.199999999953</v>
      </c>
      <c r="Q28" s="419"/>
      <c r="S28" s="19"/>
    </row>
    <row r="29" spans="2:22" ht="24" customHeight="1" x14ac:dyDescent="0.15">
      <c r="B29" s="661">
        <v>19</v>
      </c>
      <c r="C29" s="422">
        <f>IF('4-1.手当等支給メニュー'!$C33="","",'4-1.手当等支給メニュー'!$C33)</f>
        <v>1040</v>
      </c>
      <c r="D29" s="691">
        <f>IF('4-1.手当等支給メニュー'!$E33="","",IF($C29="","",'4-1.手当等支給メニュー'!$E33))</f>
        <v>0</v>
      </c>
      <c r="E29" s="693">
        <f>IF('4-1.手当等支給メニュー'!$G33="","",IF($C29="","",'4-1.手当等支給メニュー'!$G33))</f>
        <v>30000</v>
      </c>
      <c r="F29" s="673">
        <f>IF('4-1.手当等支給メニュー'!$I33="","",IF($C29="","",'4-1.手当等支給メニュー'!$I33))</f>
        <v>38</v>
      </c>
      <c r="G29" s="423">
        <f>IF('4-1.手当等支給メニュー'!$K33="","",IF($C29="","",'4-1.手当等支給メニュー'!$K33))</f>
        <v>171723.8095238095</v>
      </c>
      <c r="H29" s="424">
        <f>IF('4-1.手当等支給メニュー'!$L33="","",IF($C29="","",'4-1.手当等支給メニュー'!$L33))</f>
        <v>201723.8095238095</v>
      </c>
      <c r="I29" s="670">
        <f>IF('4-1.手当等支給メニュー'!$M33="","",IF($H29="","",'4-1.手当等支給メニュー'!$M33))</f>
        <v>203723.8095238095</v>
      </c>
      <c r="J29" s="690">
        <f>IF('4-1.手当等支給メニュー'!$N33="","",IF($H29="","",'4-1.手当等支給メニュー'!$N33))</f>
        <v>2444685.7142857141</v>
      </c>
      <c r="K29" s="690">
        <f>IF($C29="","",IF('4-1.手当等支給メニュー'!$R33="","",'4-1.手当等支給メニュー'!$R33))</f>
        <v>200000</v>
      </c>
      <c r="L29" s="674">
        <f>IF('4-1.手当等支給メニュー'!$AG33="","",IF($C29="","",'4-1.手当等支給メニュー'!$AG33))</f>
        <v>357748.11428571428</v>
      </c>
      <c r="M29" s="675">
        <f>IF('4-1.手当等支給メニュー'!$AP33="","",IF($C29="","",'4-1.手当等支給メニュー'!$AP33))</f>
        <v>40400</v>
      </c>
      <c r="N29" s="676">
        <f>IF('4-1.手当等支給メニュー'!$AV33="","",IF($C29="","",'4-1.手当等支給メニュー'!$AV33))</f>
        <v>87300</v>
      </c>
      <c r="O29" s="670">
        <f>IF('4-1.手当等支給メニュー'!$AW33="","",IF($C29="","",'4-1.手当等支給メニュー'!$AW33))</f>
        <v>1959237.5999999999</v>
      </c>
      <c r="P29" s="490">
        <f t="shared" si="0"/>
        <v>48203.199999999953</v>
      </c>
      <c r="Q29" s="419"/>
      <c r="S29" s="19"/>
    </row>
    <row r="30" spans="2:22" ht="24" customHeight="1" x14ac:dyDescent="0.15">
      <c r="B30" s="660">
        <v>20</v>
      </c>
      <c r="C30" s="422">
        <f>IF('4-1.手当等支給メニュー'!$C34="","",'4-1.手当等支給メニュー'!$C34)</f>
        <v>1040</v>
      </c>
      <c r="D30" s="691">
        <f>IF('4-1.手当等支給メニュー'!$E34="","",IF($C30="","",'4-1.手当等支給メニュー'!$E34))</f>
        <v>0</v>
      </c>
      <c r="E30" s="693">
        <f>IF('4-1.手当等支給メニュー'!$G34="","",IF($C30="","",'4-1.手当等支給メニュー'!$G34))</f>
        <v>33000</v>
      </c>
      <c r="F30" s="673">
        <f>IF('4-1.手当等支給メニュー'!$I34="","",IF($C30="","",'4-1.手当等支給メニュー'!$I34))</f>
        <v>39</v>
      </c>
      <c r="G30" s="423">
        <f>IF('4-1.手当等支給メニュー'!$K34="","",IF($C30="","",'4-1.手当等支給メニュー'!$K34))</f>
        <v>176242.85714285716</v>
      </c>
      <c r="H30" s="424">
        <f>IF('4-1.手当等支給メニュー'!$L34="","",IF($C30="","",'4-1.手当等支給メニュー'!$L34))</f>
        <v>209242.85714285716</v>
      </c>
      <c r="I30" s="670">
        <f>IF('4-1.手当等支給メニュー'!$M34="","",IF($H30="","",'4-1.手当等支給メニュー'!$M34))</f>
        <v>211242.85714285716</v>
      </c>
      <c r="J30" s="690">
        <f>IF('4-1.手当等支給メニュー'!$N34="","",IF($H30="","",'4-1.手当等支給メニュー'!$N34))</f>
        <v>2534914.2857142859</v>
      </c>
      <c r="K30" s="690">
        <f>IF($C30="","",IF('4-1.手当等支給メニュー'!$R34="","",'4-1.手当等支給メニュー'!$R34))</f>
        <v>220000</v>
      </c>
      <c r="L30" s="674">
        <f>IF('4-1.手当等支給メニュー'!$AG34="","",IF($C30="","",'4-1.手当等支給メニュー'!$AG34))</f>
        <v>392597.48571428569</v>
      </c>
      <c r="M30" s="675">
        <f>IF('4-1.手当等支給メニュー'!$AP34="","",IF($C30="","",'4-1.手当等支給メニュー'!$AP34))</f>
        <v>41900</v>
      </c>
      <c r="N30" s="676">
        <f>IF('4-1.手当等支給メニュー'!$AV34="","",IF($C30="","",'4-1.手当等支給メニュー'!$AV34))</f>
        <v>90100</v>
      </c>
      <c r="O30" s="670">
        <f>IF('4-1.手当等支給メニュー'!$AW34="","",IF($C30="","",'4-1.手当等支給メニュー'!$AW34))</f>
        <v>2010316.8000000003</v>
      </c>
      <c r="P30" s="490">
        <f t="shared" si="0"/>
        <v>51079.200000000419</v>
      </c>
      <c r="Q30" s="419"/>
      <c r="S30" s="19"/>
    </row>
    <row r="31" spans="2:22" ht="24" customHeight="1" x14ac:dyDescent="0.15">
      <c r="B31" s="661">
        <v>21</v>
      </c>
      <c r="C31" s="422" t="str">
        <f>IF('4-1.手当等支給メニュー'!$C35="","",'4-1.手当等支給メニュー'!$C35)</f>
        <v/>
      </c>
      <c r="D31" s="691" t="str">
        <f>IF('4-1.手当等支給メニュー'!$E35="","",IF($C31="","",'4-1.手当等支給メニュー'!$E35))</f>
        <v/>
      </c>
      <c r="E31" s="693" t="str">
        <f>IF('4-1.手当等支給メニュー'!$G35="","",IF($C31="","",'4-1.手当等支給メニュー'!$G35))</f>
        <v/>
      </c>
      <c r="F31" s="673" t="str">
        <f>IF('4-1.手当等支給メニュー'!$I35="","",IF($C31="","",'4-1.手当等支給メニュー'!$I35))</f>
        <v/>
      </c>
      <c r="G31" s="423" t="str">
        <f>IF('4-1.手当等支給メニュー'!$K35="","",IF($C31="","",'4-1.手当等支給メニュー'!$K35))</f>
        <v/>
      </c>
      <c r="H31" s="424" t="str">
        <f>IF('4-1.手当等支給メニュー'!$L35="","",IF($C31="","",'4-1.手当等支給メニュー'!$L35))</f>
        <v/>
      </c>
      <c r="I31" s="670" t="str">
        <f>IF('4-1.手当等支給メニュー'!$M35="","",IF($H31="","",'4-1.手当等支給メニュー'!$M35))</f>
        <v/>
      </c>
      <c r="J31" s="690" t="str">
        <f>IF('4-1.手当等支給メニュー'!$N35="","",IF($H31="","",'4-1.手当等支給メニュー'!$N35))</f>
        <v/>
      </c>
      <c r="K31" s="690" t="str">
        <f>IF($C31="","",IF('4-1.手当等支給メニュー'!$R35="","",'4-1.手当等支給メニュー'!$R35))</f>
        <v/>
      </c>
      <c r="L31" s="674" t="str">
        <f>IF('4-1.手当等支給メニュー'!$AG35="","",IF($C31="","",'4-1.手当等支給メニュー'!$AG35))</f>
        <v/>
      </c>
      <c r="M31" s="675" t="str">
        <f>IF('4-1.手当等支給メニュー'!$AP35="","",IF($C31="","",'4-1.手当等支給メニュー'!$AP35))</f>
        <v/>
      </c>
      <c r="N31" s="676" t="str">
        <f>IF('4-1.手当等支給メニュー'!$AV35="","",IF($C31="","",'4-1.手当等支給メニュー'!$AV35))</f>
        <v/>
      </c>
      <c r="O31" s="670" t="str">
        <f>IF('4-1.手当等支給メニュー'!$AW35="","",IF($C31="","",'4-1.手当等支給メニュー'!$AW35))</f>
        <v/>
      </c>
      <c r="P31" s="490" t="str">
        <f t="shared" si="0"/>
        <v/>
      </c>
      <c r="Q31" s="419"/>
      <c r="S31" s="19"/>
    </row>
    <row r="32" spans="2:22" ht="24" customHeight="1" x14ac:dyDescent="0.15">
      <c r="B32" s="661">
        <v>22</v>
      </c>
      <c r="C32" s="422" t="str">
        <f>IF('4-1.手当等支給メニュー'!$C36="","",'4-1.手当等支給メニュー'!$C36)</f>
        <v/>
      </c>
      <c r="D32" s="691" t="str">
        <f>IF('4-1.手当等支給メニュー'!$E36="","",IF($C32="","",'4-1.手当等支給メニュー'!$E36))</f>
        <v/>
      </c>
      <c r="E32" s="693" t="str">
        <f>IF('4-1.手当等支給メニュー'!$G36="","",IF($C32="","",'4-1.手当等支給メニュー'!$G36))</f>
        <v/>
      </c>
      <c r="F32" s="673" t="str">
        <f>IF('4-1.手当等支給メニュー'!$I36="","",IF($C32="","",'4-1.手当等支給メニュー'!$I36))</f>
        <v/>
      </c>
      <c r="G32" s="423" t="str">
        <f>IF('4-1.手当等支給メニュー'!$K36="","",IF($C32="","",'4-1.手当等支給メニュー'!$K36))</f>
        <v/>
      </c>
      <c r="H32" s="424" t="str">
        <f>IF('4-1.手当等支給メニュー'!$L36="","",IF($C32="","",'4-1.手当等支給メニュー'!$L36))</f>
        <v/>
      </c>
      <c r="I32" s="670" t="str">
        <f>IF('4-1.手当等支給メニュー'!$M36="","",IF($H32="","",'4-1.手当等支給メニュー'!$M36))</f>
        <v/>
      </c>
      <c r="J32" s="690" t="str">
        <f>IF('4-1.手当等支給メニュー'!$N36="","",IF($H32="","",'4-1.手当等支給メニュー'!$N36))</f>
        <v/>
      </c>
      <c r="K32" s="690" t="str">
        <f>IF($C32="","",IF('4-1.手当等支給メニュー'!$R36="","",'4-1.手当等支給メニュー'!$R36))</f>
        <v/>
      </c>
      <c r="L32" s="674" t="str">
        <f>IF('4-1.手当等支給メニュー'!$AG36="","",IF($C32="","",'4-1.手当等支給メニュー'!$AG36))</f>
        <v/>
      </c>
      <c r="M32" s="675" t="str">
        <f>IF('4-1.手当等支給メニュー'!$AP36="","",IF($C32="","",'4-1.手当等支給メニュー'!$AP36))</f>
        <v/>
      </c>
      <c r="N32" s="676" t="str">
        <f>IF('4-1.手当等支給メニュー'!$AV36="","",IF($C32="","",'4-1.手当等支給メニュー'!$AV36))</f>
        <v/>
      </c>
      <c r="O32" s="670" t="str">
        <f>IF('4-1.手当等支給メニュー'!$AW36="","",IF($C32="","",'4-1.手当等支給メニュー'!$AW36))</f>
        <v/>
      </c>
      <c r="P32" s="490" t="str">
        <f t="shared" si="0"/>
        <v/>
      </c>
      <c r="Q32" s="419"/>
      <c r="S32" s="19"/>
    </row>
    <row r="33" spans="2:19" ht="24" customHeight="1" x14ac:dyDescent="0.15">
      <c r="B33" s="661">
        <v>23</v>
      </c>
      <c r="C33" s="422" t="str">
        <f>IF('4-1.手当等支給メニュー'!$C37="","",'4-1.手当等支給メニュー'!$C37)</f>
        <v/>
      </c>
      <c r="D33" s="691" t="str">
        <f>IF('4-1.手当等支給メニュー'!$E37="","",IF($C33="","",'4-1.手当等支給メニュー'!$E37))</f>
        <v/>
      </c>
      <c r="E33" s="693" t="str">
        <f>IF('4-1.手当等支給メニュー'!$G37="","",IF($C33="","",'4-1.手当等支給メニュー'!$G37))</f>
        <v/>
      </c>
      <c r="F33" s="673" t="str">
        <f>IF('4-1.手当等支給メニュー'!$I37="","",IF($C33="","",'4-1.手当等支給メニュー'!$I37))</f>
        <v/>
      </c>
      <c r="G33" s="423" t="str">
        <f>IF('4-1.手当等支給メニュー'!$K37="","",IF($C33="","",'4-1.手当等支給メニュー'!$K37))</f>
        <v/>
      </c>
      <c r="H33" s="424" t="str">
        <f>IF('4-1.手当等支給メニュー'!$L37="","",IF($C33="","",'4-1.手当等支給メニュー'!$L37))</f>
        <v/>
      </c>
      <c r="I33" s="670" t="str">
        <f>IF('4-1.手当等支給メニュー'!$M37="","",IF($H33="","",'4-1.手当等支給メニュー'!$M37))</f>
        <v/>
      </c>
      <c r="J33" s="690" t="str">
        <f>IF('4-1.手当等支給メニュー'!$N37="","",IF($H33="","",'4-1.手当等支給メニュー'!$N37))</f>
        <v/>
      </c>
      <c r="K33" s="690" t="str">
        <f>IF($C33="","",IF('4-1.手当等支給メニュー'!$R37="","",'4-1.手当等支給メニュー'!$R37))</f>
        <v/>
      </c>
      <c r="L33" s="674" t="str">
        <f>IF('4-1.手当等支給メニュー'!$AG37="","",IF($C33="","",'4-1.手当等支給メニュー'!$AG37))</f>
        <v/>
      </c>
      <c r="M33" s="675" t="str">
        <f>IF('4-1.手当等支給メニュー'!$AP37="","",IF($C33="","",'4-1.手当等支給メニュー'!$AP37))</f>
        <v/>
      </c>
      <c r="N33" s="676" t="str">
        <f>IF('4-1.手当等支給メニュー'!$AV37="","",IF($C33="","",'4-1.手当等支給メニュー'!$AV37))</f>
        <v/>
      </c>
      <c r="O33" s="670" t="str">
        <f>IF('4-1.手当等支給メニュー'!$AW37="","",IF($C33="","",'4-1.手当等支給メニュー'!$AW37))</f>
        <v/>
      </c>
      <c r="P33" s="490" t="str">
        <f t="shared" si="0"/>
        <v/>
      </c>
      <c r="Q33" s="419"/>
      <c r="S33" s="19"/>
    </row>
    <row r="34" spans="2:19" ht="24" customHeight="1" x14ac:dyDescent="0.15">
      <c r="B34" s="660">
        <v>24</v>
      </c>
      <c r="C34" s="422" t="str">
        <f>IF('4-1.手当等支給メニュー'!$C38="","",'4-1.手当等支給メニュー'!$C38)</f>
        <v/>
      </c>
      <c r="D34" s="691" t="str">
        <f>IF('4-1.手当等支給メニュー'!$E38="","",IF($C34="","",'4-1.手当等支給メニュー'!$E38))</f>
        <v/>
      </c>
      <c r="E34" s="693" t="str">
        <f>IF('4-1.手当等支給メニュー'!$G38="","",IF($C34="","",'4-1.手当等支給メニュー'!$G38))</f>
        <v/>
      </c>
      <c r="F34" s="673" t="str">
        <f>IF('4-1.手当等支給メニュー'!$I38="","",IF($C34="","",'4-1.手当等支給メニュー'!$I38))</f>
        <v/>
      </c>
      <c r="G34" s="423" t="str">
        <f>IF('4-1.手当等支給メニュー'!$K38="","",IF($C34="","",'4-1.手当等支給メニュー'!$K38))</f>
        <v/>
      </c>
      <c r="H34" s="424" t="str">
        <f>IF('4-1.手当等支給メニュー'!$L38="","",IF($C34="","",'4-1.手当等支給メニュー'!$L38))</f>
        <v/>
      </c>
      <c r="I34" s="670" t="str">
        <f>IF('4-1.手当等支給メニュー'!$M38="","",IF($H34="","",'4-1.手当等支給メニュー'!$M38))</f>
        <v/>
      </c>
      <c r="J34" s="690" t="str">
        <f>IF('4-1.手当等支給メニュー'!$N38="","",IF($H34="","",'4-1.手当等支給メニュー'!$N38))</f>
        <v/>
      </c>
      <c r="K34" s="690" t="str">
        <f>IF($C34="","",IF('4-1.手当等支給メニュー'!$R38="","",'4-1.手当等支給メニュー'!$R38))</f>
        <v/>
      </c>
      <c r="L34" s="674" t="str">
        <f>IF('4-1.手当等支給メニュー'!$AG38="","",IF($C34="","",'4-1.手当等支給メニュー'!$AG38))</f>
        <v/>
      </c>
      <c r="M34" s="675" t="str">
        <f>IF('4-1.手当等支給メニュー'!$AP38="","",IF($C34="","",'4-1.手当等支給メニュー'!$AP38))</f>
        <v/>
      </c>
      <c r="N34" s="676" t="str">
        <f>IF('4-1.手当等支給メニュー'!$AV38="","",IF($C34="","",'4-1.手当等支給メニュー'!$AV38))</f>
        <v/>
      </c>
      <c r="O34" s="670" t="str">
        <f>IF('4-1.手当等支給メニュー'!$AW38="","",IF($C34="","",'4-1.手当等支給メニュー'!$AW38))</f>
        <v/>
      </c>
      <c r="P34" s="490" t="str">
        <f t="shared" si="0"/>
        <v/>
      </c>
      <c r="Q34" s="419"/>
      <c r="S34" s="19"/>
    </row>
    <row r="35" spans="2:19" ht="24" customHeight="1" x14ac:dyDescent="0.15">
      <c r="B35" s="661">
        <v>25</v>
      </c>
      <c r="C35" s="422" t="str">
        <f>IF('4-1.手当等支給メニュー'!$C39="","",'4-1.手当等支給メニュー'!$C39)</f>
        <v/>
      </c>
      <c r="D35" s="691" t="str">
        <f>IF('4-1.手当等支給メニュー'!$E39="","",IF($C35="","",'4-1.手当等支給メニュー'!$E39))</f>
        <v/>
      </c>
      <c r="E35" s="693" t="str">
        <f>IF('4-1.手当等支給メニュー'!$G39="","",IF($C35="","",'4-1.手当等支給メニュー'!$G39))</f>
        <v/>
      </c>
      <c r="F35" s="673" t="str">
        <f>IF('4-1.手当等支給メニュー'!$I39="","",IF($C35="","",'4-1.手当等支給メニュー'!$I39))</f>
        <v/>
      </c>
      <c r="G35" s="423" t="str">
        <f>IF('4-1.手当等支給メニュー'!$K39="","",IF($C35="","",'4-1.手当等支給メニュー'!$K39))</f>
        <v/>
      </c>
      <c r="H35" s="424" t="str">
        <f>IF('4-1.手当等支給メニュー'!$L39="","",IF($C35="","",'4-1.手当等支給メニュー'!$L39))</f>
        <v/>
      </c>
      <c r="I35" s="670" t="str">
        <f>IF('4-1.手当等支給メニュー'!$M39="","",IF($H35="","",'4-1.手当等支給メニュー'!$M39))</f>
        <v/>
      </c>
      <c r="J35" s="690" t="str">
        <f>IF('4-1.手当等支給メニュー'!$N39="","",IF($H35="","",'4-1.手当等支給メニュー'!$N39))</f>
        <v/>
      </c>
      <c r="K35" s="690" t="str">
        <f>IF($C35="","",IF('4-1.手当等支給メニュー'!$R39="","",'4-1.手当等支給メニュー'!$R39))</f>
        <v/>
      </c>
      <c r="L35" s="674" t="str">
        <f>IF('4-1.手当等支給メニュー'!$AG39="","",IF($C35="","",'4-1.手当等支給メニュー'!$AG39))</f>
        <v/>
      </c>
      <c r="M35" s="675" t="str">
        <f>IF('4-1.手当等支給メニュー'!$AP39="","",IF($C35="","",'4-1.手当等支給メニュー'!$AP39))</f>
        <v/>
      </c>
      <c r="N35" s="676" t="str">
        <f>IF('4-1.手当等支給メニュー'!$AV39="","",IF($C35="","",'4-1.手当等支給メニュー'!$AV39))</f>
        <v/>
      </c>
      <c r="O35" s="670" t="str">
        <f>IF('4-1.手当等支給メニュー'!$AW39="","",IF($C35="","",'4-1.手当等支給メニュー'!$AW39))</f>
        <v/>
      </c>
      <c r="P35" s="490" t="str">
        <f t="shared" si="0"/>
        <v/>
      </c>
      <c r="Q35" s="419"/>
      <c r="S35" s="19"/>
    </row>
    <row r="36" spans="2:19" ht="24" customHeight="1" x14ac:dyDescent="0.15">
      <c r="B36" s="661">
        <v>26</v>
      </c>
      <c r="C36" s="422" t="str">
        <f>IF('4-1.手当等支給メニュー'!$C40="","",'4-1.手当等支給メニュー'!$C40)</f>
        <v/>
      </c>
      <c r="D36" s="691" t="str">
        <f>IF('4-1.手当等支給メニュー'!$E40="","",IF($C36="","",'4-1.手当等支給メニュー'!$E40))</f>
        <v/>
      </c>
      <c r="E36" s="693" t="str">
        <f>IF('4-1.手当等支給メニュー'!$G40="","",IF($C36="","",'4-1.手当等支給メニュー'!$G40))</f>
        <v/>
      </c>
      <c r="F36" s="673" t="str">
        <f>IF('4-1.手当等支給メニュー'!$I40="","",IF($C36="","",'4-1.手当等支給メニュー'!$I40))</f>
        <v/>
      </c>
      <c r="G36" s="423" t="str">
        <f>IF('4-1.手当等支給メニュー'!$K40="","",IF($C36="","",'4-1.手当等支給メニュー'!$K40))</f>
        <v/>
      </c>
      <c r="H36" s="424" t="str">
        <f>IF('4-1.手当等支給メニュー'!$L40="","",IF($C36="","",'4-1.手当等支給メニュー'!$L40))</f>
        <v/>
      </c>
      <c r="I36" s="670" t="str">
        <f>IF('4-1.手当等支給メニュー'!$M40="","",IF($H36="","",'4-1.手当等支給メニュー'!$M40))</f>
        <v/>
      </c>
      <c r="J36" s="690" t="str">
        <f>IF('4-1.手当等支給メニュー'!$N40="","",IF($H36="","",'4-1.手当等支給メニュー'!$N40))</f>
        <v/>
      </c>
      <c r="K36" s="690" t="str">
        <f>IF($C36="","",IF('4-1.手当等支給メニュー'!$R40="","",'4-1.手当等支給メニュー'!$R40))</f>
        <v/>
      </c>
      <c r="L36" s="674" t="str">
        <f>IF('4-1.手当等支給メニュー'!$AG40="","",IF($C36="","",'4-1.手当等支給メニュー'!$AG40))</f>
        <v/>
      </c>
      <c r="M36" s="675" t="str">
        <f>IF('4-1.手当等支給メニュー'!$AP40="","",IF($C36="","",'4-1.手当等支給メニュー'!$AP40))</f>
        <v/>
      </c>
      <c r="N36" s="676" t="str">
        <f>IF('4-1.手当等支給メニュー'!$AV40="","",IF($C36="","",'4-1.手当等支給メニュー'!$AV40))</f>
        <v/>
      </c>
      <c r="O36" s="670" t="str">
        <f>IF('4-1.手当等支給メニュー'!$AW40="","",IF($C36="","",'4-1.手当等支給メニュー'!$AW40))</f>
        <v/>
      </c>
      <c r="P36" s="490" t="str">
        <f t="shared" si="0"/>
        <v/>
      </c>
      <c r="Q36" s="419"/>
      <c r="S36" s="19"/>
    </row>
    <row r="37" spans="2:19" ht="24" customHeight="1" x14ac:dyDescent="0.15">
      <c r="B37" s="661">
        <v>27</v>
      </c>
      <c r="C37" s="422" t="str">
        <f>IF('4-1.手当等支給メニュー'!$C41="","",'4-1.手当等支給メニュー'!$C41)</f>
        <v/>
      </c>
      <c r="D37" s="691" t="str">
        <f>IF('4-1.手当等支給メニュー'!$E41="","",IF($C37="","",'4-1.手当等支給メニュー'!$E41))</f>
        <v/>
      </c>
      <c r="E37" s="693" t="str">
        <f>IF('4-1.手当等支給メニュー'!$G41="","",IF($C37="","",'4-1.手当等支給メニュー'!$G41))</f>
        <v/>
      </c>
      <c r="F37" s="673" t="str">
        <f>IF('4-1.手当等支給メニュー'!$I41="","",IF($C37="","",'4-1.手当等支給メニュー'!$I41))</f>
        <v/>
      </c>
      <c r="G37" s="423" t="str">
        <f>IF('4-1.手当等支給メニュー'!$K41="","",IF($C37="","",'4-1.手当等支給メニュー'!$K41))</f>
        <v/>
      </c>
      <c r="H37" s="424" t="str">
        <f>IF('4-1.手当等支給メニュー'!$L41="","",IF($C37="","",'4-1.手当等支給メニュー'!$L41))</f>
        <v/>
      </c>
      <c r="I37" s="670" t="str">
        <f>IF('4-1.手当等支給メニュー'!$M41="","",IF($H37="","",'4-1.手当等支給メニュー'!$M41))</f>
        <v/>
      </c>
      <c r="J37" s="690" t="str">
        <f>IF('4-1.手当等支給メニュー'!$N41="","",IF($H37="","",'4-1.手当等支給メニュー'!$N41))</f>
        <v/>
      </c>
      <c r="K37" s="690" t="str">
        <f>IF($C37="","",IF('4-1.手当等支給メニュー'!$R41="","",'4-1.手当等支給メニュー'!$R41))</f>
        <v/>
      </c>
      <c r="L37" s="674" t="str">
        <f>IF('4-1.手当等支給メニュー'!$AG41="","",IF($C37="","",'4-1.手当等支給メニュー'!$AG41))</f>
        <v/>
      </c>
      <c r="M37" s="675" t="str">
        <f>IF('4-1.手当等支給メニュー'!$AP41="","",IF($C37="","",'4-1.手当等支給メニュー'!$AP41))</f>
        <v/>
      </c>
      <c r="N37" s="676" t="str">
        <f>IF('4-1.手当等支給メニュー'!$AV41="","",IF($C37="","",'4-1.手当等支給メニュー'!$AV41))</f>
        <v/>
      </c>
      <c r="O37" s="670" t="str">
        <f>IF('4-1.手当等支給メニュー'!$AW41="","",IF($C37="","",'4-1.手当等支給メニュー'!$AW41))</f>
        <v/>
      </c>
      <c r="P37" s="490" t="str">
        <f t="shared" si="0"/>
        <v/>
      </c>
      <c r="Q37" s="419"/>
      <c r="S37" s="19"/>
    </row>
    <row r="38" spans="2:19" ht="24" customHeight="1" x14ac:dyDescent="0.15">
      <c r="B38" s="660">
        <v>28</v>
      </c>
      <c r="C38" s="422" t="str">
        <f>IF('4-1.手当等支給メニュー'!$C42="","",'4-1.手当等支給メニュー'!$C42)</f>
        <v/>
      </c>
      <c r="D38" s="691" t="str">
        <f>IF('4-1.手当等支給メニュー'!$E42="","",IF($C38="","",'4-1.手当等支給メニュー'!$E42))</f>
        <v/>
      </c>
      <c r="E38" s="693" t="str">
        <f>IF('4-1.手当等支給メニュー'!$G42="","",IF($C38="","",'4-1.手当等支給メニュー'!$G42))</f>
        <v/>
      </c>
      <c r="F38" s="673" t="str">
        <f>IF('4-1.手当等支給メニュー'!$I42="","",IF($C38="","",'4-1.手当等支給メニュー'!$I42))</f>
        <v/>
      </c>
      <c r="G38" s="423" t="str">
        <f>IF('4-1.手当等支給メニュー'!$K42="","",IF($C38="","",'4-1.手当等支給メニュー'!$K42))</f>
        <v/>
      </c>
      <c r="H38" s="424" t="str">
        <f>IF('4-1.手当等支給メニュー'!$L42="","",IF($C38="","",'4-1.手当等支給メニュー'!$L42))</f>
        <v/>
      </c>
      <c r="I38" s="670" t="str">
        <f>IF('4-1.手当等支給メニュー'!$M42="","",IF($H38="","",'4-1.手当等支給メニュー'!$M42))</f>
        <v/>
      </c>
      <c r="J38" s="690" t="str">
        <f>IF('4-1.手当等支給メニュー'!$N42="","",IF($H38="","",'4-1.手当等支給メニュー'!$N42))</f>
        <v/>
      </c>
      <c r="K38" s="690" t="str">
        <f>IF($C38="","",IF('4-1.手当等支給メニュー'!$R42="","",'4-1.手当等支給メニュー'!$R42))</f>
        <v/>
      </c>
      <c r="L38" s="674" t="str">
        <f>IF('4-1.手当等支給メニュー'!$AG42="","",IF($C38="","",'4-1.手当等支給メニュー'!$AG42))</f>
        <v/>
      </c>
      <c r="M38" s="675" t="str">
        <f>IF('4-1.手当等支給メニュー'!$AP42="","",IF($C38="","",'4-1.手当等支給メニュー'!$AP42))</f>
        <v/>
      </c>
      <c r="N38" s="676" t="str">
        <f>IF('4-1.手当等支給メニュー'!$AV42="","",IF($C38="","",'4-1.手当等支給メニュー'!$AV42))</f>
        <v/>
      </c>
      <c r="O38" s="670" t="str">
        <f>IF('4-1.手当等支給メニュー'!$AW42="","",IF($C38="","",'4-1.手当等支給メニュー'!$AW42))</f>
        <v/>
      </c>
      <c r="P38" s="490" t="str">
        <f t="shared" si="0"/>
        <v/>
      </c>
      <c r="Q38" s="419"/>
      <c r="S38" s="19"/>
    </row>
    <row r="39" spans="2:19" ht="24" customHeight="1" x14ac:dyDescent="0.15">
      <c r="B39" s="661">
        <v>29</v>
      </c>
      <c r="C39" s="422" t="str">
        <f>IF('4-1.手当等支給メニュー'!$C43="","",'4-1.手当等支給メニュー'!$C43)</f>
        <v/>
      </c>
      <c r="D39" s="691" t="str">
        <f>IF('4-1.手当等支給メニュー'!$E43="","",IF($C39="","",'4-1.手当等支給メニュー'!$E43))</f>
        <v/>
      </c>
      <c r="E39" s="693" t="str">
        <f>IF('4-1.手当等支給メニュー'!$G43="","",IF($C39="","",'4-1.手当等支給メニュー'!$G43))</f>
        <v/>
      </c>
      <c r="F39" s="673" t="str">
        <f>IF('4-1.手当等支給メニュー'!$I43="","",IF($C39="","",'4-1.手当等支給メニュー'!$I43))</f>
        <v/>
      </c>
      <c r="G39" s="423" t="str">
        <f>IF('4-1.手当等支給メニュー'!$K43="","",IF($C39="","",'4-1.手当等支給メニュー'!$K43))</f>
        <v/>
      </c>
      <c r="H39" s="424" t="str">
        <f>IF('4-1.手当等支給メニュー'!$L43="","",IF($C39="","",'4-1.手当等支給メニュー'!$L43))</f>
        <v/>
      </c>
      <c r="I39" s="670" t="str">
        <f>IF('4-1.手当等支給メニュー'!$M43="","",IF($H39="","",'4-1.手当等支給メニュー'!$M43))</f>
        <v/>
      </c>
      <c r="J39" s="690" t="str">
        <f>IF('4-1.手当等支給メニュー'!$N43="","",IF($H39="","",'4-1.手当等支給メニュー'!$N43))</f>
        <v/>
      </c>
      <c r="K39" s="690" t="str">
        <f>IF($C39="","",IF('4-1.手当等支給メニュー'!$R43="","",'4-1.手当等支給メニュー'!$R43))</f>
        <v/>
      </c>
      <c r="L39" s="674" t="str">
        <f>IF('4-1.手当等支給メニュー'!$AG43="","",IF($C39="","",'4-1.手当等支給メニュー'!$AG43))</f>
        <v/>
      </c>
      <c r="M39" s="675" t="str">
        <f>IF('4-1.手当等支給メニュー'!$AP43="","",IF($C39="","",'4-1.手当等支給メニュー'!$AP43))</f>
        <v/>
      </c>
      <c r="N39" s="676" t="str">
        <f>IF('4-1.手当等支給メニュー'!$AV43="","",IF($C39="","",'4-1.手当等支給メニュー'!$AV43))</f>
        <v/>
      </c>
      <c r="O39" s="670" t="str">
        <f>IF('4-1.手当等支給メニュー'!$AW43="","",IF($C39="","",'4-1.手当等支給メニュー'!$AW43))</f>
        <v/>
      </c>
      <c r="P39" s="490" t="str">
        <f t="shared" si="0"/>
        <v/>
      </c>
      <c r="Q39" s="419"/>
      <c r="S39" s="19"/>
    </row>
    <row r="40" spans="2:19" ht="24" customHeight="1" thickBot="1" x14ac:dyDescent="0.2">
      <c r="B40" s="661">
        <v>30</v>
      </c>
      <c r="C40" s="694" t="str">
        <f>IF('4-1.手当等支給メニュー'!$C44="","",'4-1.手当等支給メニュー'!$C44)</f>
        <v/>
      </c>
      <c r="D40" s="691" t="str">
        <f>IF('4-1.手当等支給メニュー'!$E44="","",IF($C40="","",'4-1.手当等支給メニュー'!$E44))</f>
        <v/>
      </c>
      <c r="E40" s="693" t="str">
        <f>IF('4-1.手当等支給メニュー'!$G44="","",IF($C40="","",'4-1.手当等支給メニュー'!$G44))</f>
        <v/>
      </c>
      <c r="F40" s="669" t="str">
        <f>IF('4-1.手当等支給メニュー'!$I44="","",IF($C40="","",'4-1.手当等支給メニュー'!$I44))</f>
        <v/>
      </c>
      <c r="G40" s="679" t="str">
        <f>IF('4-1.手当等支給メニュー'!$K44="","",IF($C40="","",'4-1.手当等支給メニュー'!$K44))</f>
        <v/>
      </c>
      <c r="H40" s="490" t="str">
        <f>IF('4-1.手当等支給メニュー'!$L44="","",IF($C40="","",'4-1.手当等支給メニュー'!$L44))</f>
        <v/>
      </c>
      <c r="I40" s="679" t="str">
        <f>IF('4-1.手当等支給メニュー'!$M44="","",IF($H40="","",'4-1.手当等支給メニュー'!$M44))</f>
        <v/>
      </c>
      <c r="J40" s="679" t="str">
        <f>IF('4-1.手当等支給メニュー'!$N44="","",IF($H40="","",'4-1.手当等支給メニュー'!$N44))</f>
        <v/>
      </c>
      <c r="K40" s="679" t="str">
        <f>IF($C40="","",IF('4-1.手当等支給メニュー'!$R44="","",'4-1.手当等支給メニュー'!$R44))</f>
        <v/>
      </c>
      <c r="L40" s="679" t="str">
        <f>IF('4-1.手当等支給メニュー'!$AG44="","",IF($C40="","",'4-1.手当等支給メニュー'!$AG44))</f>
        <v/>
      </c>
      <c r="M40" s="490" t="str">
        <f>IF('4-1.手当等支給メニュー'!$AP44="","",IF($C40="","",'4-1.手当等支給メニュー'!$AP44))</f>
        <v/>
      </c>
      <c r="N40" s="490" t="str">
        <f>IF('4-1.手当等支給メニュー'!$AV44="","",IF($C40="","",'4-1.手当等支給メニュー'!$AV44))</f>
        <v/>
      </c>
      <c r="O40" s="679" t="str">
        <f>IF('4-1.手当等支給メニュー'!$AW44="","",IF($C40="","",'4-1.手当等支給メニュー'!$AW44))</f>
        <v/>
      </c>
      <c r="P40" s="490" t="str">
        <f t="shared" si="0"/>
        <v/>
      </c>
      <c r="Q40" s="419"/>
      <c r="S40" s="19"/>
    </row>
    <row r="41" spans="2:19" x14ac:dyDescent="0.15">
      <c r="S41" s="19"/>
    </row>
    <row r="42" spans="2:19" x14ac:dyDescent="0.15">
      <c r="S42" s="19"/>
    </row>
    <row r="43" spans="2:19" x14ac:dyDescent="0.15">
      <c r="S43" s="19"/>
    </row>
    <row r="44" spans="2:19" x14ac:dyDescent="0.15">
      <c r="S44" s="19"/>
    </row>
    <row r="45" spans="2:19" x14ac:dyDescent="0.15">
      <c r="S45" s="19"/>
    </row>
    <row r="46" spans="2:19" x14ac:dyDescent="0.15">
      <c r="S46" s="19"/>
    </row>
  </sheetData>
  <sheetProtection algorithmName="SHA-512" hashValue="ZezdrfM/irovYlP8eGPjZmRxq+0fk9j0jL8JCvx4/OzyIel7E/rTjdGuS1wzEhqpa8xmYKXnEVnoS/Yvh6nO2w==" saltValue="2XeS9rTtZiS2/lEU/LVM6Q==" spinCount="100000" sheet="1" objects="1" scenarios="1"/>
  <mergeCells count="3">
    <mergeCell ref="S9:T9"/>
    <mergeCell ref="M4:Q7"/>
    <mergeCell ref="F5:G5"/>
  </mergeCells>
  <phoneticPr fontId="3"/>
  <conditionalFormatting sqref="C11 J11:J40">
    <cfRule type="expression" dxfId="30" priority="105">
      <formula>C11&gt;=$S$15</formula>
    </cfRule>
    <cfRule type="expression" dxfId="29" priority="106">
      <formula>C11&gt;=$S$14</formula>
    </cfRule>
    <cfRule type="expression" dxfId="28" priority="107">
      <formula>C11&gt;$S$13</formula>
    </cfRule>
    <cfRule type="expression" dxfId="27" priority="108">
      <formula>C11&gt;$S$12</formula>
    </cfRule>
    <cfRule type="expression" dxfId="26" priority="109">
      <formula>C11&lt;=$S$11</formula>
    </cfRule>
    <cfRule type="expression" priority="110">
      <formula>$O11&lt;=$S$11</formula>
    </cfRule>
  </conditionalFormatting>
  <conditionalFormatting sqref="Q11:Q40">
    <cfRule type="expression" dxfId="25" priority="1">
      <formula>$C11=""</formula>
    </cfRule>
    <cfRule type="expression" dxfId="24" priority="5">
      <formula>AND($F11&gt;=20,$H11&gt;=88000)</formula>
    </cfRule>
  </conditionalFormatting>
  <printOptions horizontalCentered="1"/>
  <pageMargins left="0.39370078740157483" right="0.39370078740157483" top="0.78740157480314965" bottom="0.59055118110236227" header="0.51181102362204722" footer="0.51181102362204722"/>
  <pageSetup paperSize="9" pageOrder="overThenDown" orientation="landscape" r:id="rId1"/>
  <headerFooter alignWithMargins="0">
    <oddFooter>&amp;C&amp;P</oddFooter>
  </headerFooter>
  <colBreaks count="2" manualBreakCount="2">
    <brk id="10" min="2" max="24" man="1"/>
    <brk id="17" min="3"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231A3-3776-4910-B913-886420618B03}">
  <sheetPr>
    <tabColor rgb="FF99FFCC"/>
    <pageSetUpPr autoPageBreaks="0"/>
  </sheetPr>
  <dimension ref="B1:AZ47"/>
  <sheetViews>
    <sheetView showGridLines="0" zoomScaleNormal="100" zoomScaleSheetLayoutView="80" workbookViewId="0"/>
  </sheetViews>
  <sheetFormatPr defaultRowHeight="14.25" x14ac:dyDescent="0.15"/>
  <cols>
    <col min="1" max="2" width="6" style="17" customWidth="1"/>
    <col min="3" max="3" width="18.125" style="17" customWidth="1"/>
    <col min="4" max="4" width="15.25" style="17" customWidth="1"/>
    <col min="5" max="5" width="11" style="17" customWidth="1"/>
    <col min="6" max="6" width="13" style="17" customWidth="1"/>
    <col min="7" max="7" width="11.625" style="17" customWidth="1"/>
    <col min="8" max="8" width="14.625" style="17" customWidth="1"/>
    <col min="9" max="9" width="11.625" style="17" customWidth="1"/>
    <col min="10" max="10" width="14.75" style="17" customWidth="1"/>
    <col min="11" max="11" width="12.375" style="17" customWidth="1"/>
    <col min="12" max="13" width="14.625" style="17" customWidth="1"/>
    <col min="14" max="14" width="14" style="17" customWidth="1"/>
    <col min="15" max="15" width="14.75" style="17" customWidth="1"/>
    <col min="16" max="16" width="12" style="17" customWidth="1"/>
    <col min="17" max="18" width="14.25" style="17" customWidth="1"/>
    <col min="19" max="19" width="13.25" style="17" customWidth="1"/>
    <col min="20" max="20" width="11.625" style="17" customWidth="1"/>
    <col min="21" max="23" width="14.375" style="17" customWidth="1"/>
    <col min="24" max="24" width="11.625" style="17" customWidth="1"/>
    <col min="25" max="25" width="12.375" style="17" customWidth="1"/>
    <col min="26" max="26" width="16.25" style="17" customWidth="1"/>
    <col min="27" max="27" width="12.375" style="17" customWidth="1"/>
    <col min="28" max="33" width="14.875" style="17" customWidth="1"/>
    <col min="34" max="35" width="15.125" style="17" customWidth="1"/>
    <col min="36" max="36" width="19.625" style="17" customWidth="1"/>
    <col min="37" max="38" width="14.625" style="17" customWidth="1"/>
    <col min="39" max="40" width="15.625" style="17" customWidth="1"/>
    <col min="41" max="41" width="14.625" style="17" customWidth="1"/>
    <col min="42" max="42" width="17.875" style="17" customWidth="1"/>
    <col min="43" max="43" width="12.25" style="17" customWidth="1"/>
    <col min="44" max="44" width="17.625" style="17" customWidth="1"/>
    <col min="45" max="45" width="12" style="17" customWidth="1"/>
    <col min="46" max="47" width="9" style="17"/>
    <col min="48" max="48" width="24.875" style="17" customWidth="1"/>
    <col min="49" max="49" width="23" style="17" customWidth="1"/>
    <col min="50" max="50" width="25.625" style="17" customWidth="1"/>
    <col min="51" max="51" width="22.5" style="17" customWidth="1"/>
    <col min="52" max="56" width="28.625" style="17" customWidth="1"/>
    <col min="57" max="58" width="15.5" style="17" customWidth="1"/>
    <col min="59" max="16384" width="9" style="17"/>
  </cols>
  <sheetData>
    <row r="1" spans="2:52" ht="15" thickBot="1" x14ac:dyDescent="0.2">
      <c r="C1" s="123">
        <v>1</v>
      </c>
      <c r="D1" s="123"/>
      <c r="E1" s="123"/>
      <c r="F1" s="123">
        <v>2</v>
      </c>
      <c r="G1" s="123">
        <v>3</v>
      </c>
      <c r="H1" s="123">
        <v>4</v>
      </c>
      <c r="I1" s="123"/>
      <c r="J1" s="123">
        <v>6</v>
      </c>
      <c r="K1" s="123">
        <v>7</v>
      </c>
      <c r="L1" s="123">
        <v>8</v>
      </c>
      <c r="M1" s="123">
        <v>9</v>
      </c>
      <c r="N1" s="123">
        <v>10</v>
      </c>
      <c r="O1" s="123">
        <v>11</v>
      </c>
      <c r="P1" s="123">
        <v>12</v>
      </c>
      <c r="Q1" s="123">
        <v>13</v>
      </c>
      <c r="R1" s="123">
        <v>14</v>
      </c>
      <c r="S1" s="123">
        <v>15</v>
      </c>
      <c r="T1" s="123">
        <v>16</v>
      </c>
      <c r="U1" s="123">
        <v>17</v>
      </c>
      <c r="V1" s="123">
        <v>18</v>
      </c>
      <c r="W1" s="123">
        <v>19</v>
      </c>
      <c r="X1" s="123">
        <v>20</v>
      </c>
      <c r="Y1" s="123">
        <v>24</v>
      </c>
      <c r="Z1" s="123">
        <v>25</v>
      </c>
      <c r="AA1" s="123">
        <v>26</v>
      </c>
      <c r="AB1" s="123">
        <v>27</v>
      </c>
      <c r="AC1" s="123">
        <v>28</v>
      </c>
      <c r="AD1" s="123">
        <v>29</v>
      </c>
      <c r="AE1" s="123">
        <v>30</v>
      </c>
      <c r="AF1" s="123">
        <v>31</v>
      </c>
      <c r="AG1" s="123">
        <v>32</v>
      </c>
      <c r="AH1" s="123">
        <v>33</v>
      </c>
      <c r="AI1" s="123">
        <v>34</v>
      </c>
      <c r="AJ1" s="123">
        <v>35</v>
      </c>
      <c r="AK1" s="123">
        <v>36</v>
      </c>
      <c r="AL1" s="123">
        <v>37</v>
      </c>
      <c r="AM1" s="123">
        <v>38</v>
      </c>
      <c r="AN1" s="123">
        <v>39</v>
      </c>
      <c r="AO1" s="123">
        <v>40</v>
      </c>
      <c r="AP1" s="123">
        <v>41</v>
      </c>
      <c r="AQ1" s="123"/>
      <c r="AR1" s="123"/>
    </row>
    <row r="2" spans="2:52" ht="38.25" customHeight="1" thickBot="1" x14ac:dyDescent="0.25">
      <c r="B2" s="462" t="s">
        <v>344</v>
      </c>
      <c r="E2" s="86"/>
      <c r="J2" s="467">
        <f>IF('1-1.従業員データ給与改定案入力画面'!$N$2="","",IF(OR('1-1.従業員データ給与改定案入力画面'!$N$2=2,'1-1.従業員データ給与改定案入力画面'!$N$2=1),"",'1-1.従業員データ給与改定案入力画面'!$N$2))</f>
        <v>3</v>
      </c>
      <c r="K2" s="183"/>
      <c r="V2" s="125" t="s">
        <v>27</v>
      </c>
      <c r="X2" s="126" t="s">
        <v>28</v>
      </c>
    </row>
    <row r="3" spans="2:52" ht="19.5" customHeight="1" thickBot="1" x14ac:dyDescent="0.25">
      <c r="D3" s="179" t="s">
        <v>112</v>
      </c>
      <c r="G3" s="224" t="s">
        <v>289</v>
      </c>
      <c r="H3" s="180"/>
      <c r="I3" s="180"/>
      <c r="L3" s="167"/>
      <c r="Z3" s="19"/>
      <c r="AA3" s="19"/>
      <c r="AB3" s="19"/>
      <c r="AC3" s="19"/>
      <c r="AD3" s="19"/>
      <c r="AR3" s="184"/>
      <c r="AS3" s="184"/>
      <c r="AT3" s="184"/>
      <c r="AU3" s="313"/>
      <c r="AV3" s="313"/>
      <c r="AW3" s="313" t="s">
        <v>193</v>
      </c>
      <c r="AX3" s="464">
        <v>2</v>
      </c>
      <c r="AY3" s="464">
        <v>3</v>
      </c>
      <c r="AZ3" s="464">
        <v>4</v>
      </c>
    </row>
    <row r="4" spans="2:52" ht="35.25" customHeight="1" thickBot="1" x14ac:dyDescent="0.2">
      <c r="C4" s="56" t="s">
        <v>79</v>
      </c>
      <c r="D4" s="447">
        <v>102</v>
      </c>
      <c r="E4" s="176"/>
      <c r="G4" s="175"/>
      <c r="H4" s="19"/>
      <c r="I4" s="19"/>
      <c r="J4" s="970" t="s">
        <v>255</v>
      </c>
      <c r="K4" s="970" t="s">
        <v>256</v>
      </c>
      <c r="L4" s="970" t="s">
        <v>257</v>
      </c>
      <c r="M4" s="971" t="s">
        <v>163</v>
      </c>
      <c r="N4" s="24"/>
      <c r="Q4" s="93" t="s">
        <v>119</v>
      </c>
      <c r="T4" s="939" t="s">
        <v>21</v>
      </c>
      <c r="U4" s="940"/>
      <c r="V4" s="940"/>
      <c r="W4" s="940"/>
      <c r="X4" s="941"/>
      <c r="Z4" s="18"/>
      <c r="AA4" s="18"/>
      <c r="AC4" s="93" t="s">
        <v>120</v>
      </c>
      <c r="AD4" s="18"/>
      <c r="AJ4" s="93" t="s">
        <v>118</v>
      </c>
      <c r="AL4" s="157" t="s">
        <v>161</v>
      </c>
      <c r="AP4" s="93" t="s">
        <v>269</v>
      </c>
      <c r="AQ4" s="93"/>
      <c r="AR4" s="184"/>
      <c r="AS4" s="184"/>
      <c r="AT4" s="184"/>
      <c r="AU4" s="313"/>
      <c r="AV4" s="185" t="s">
        <v>198</v>
      </c>
      <c r="AW4" s="185" t="s">
        <v>208</v>
      </c>
      <c r="AX4" s="200" t="s">
        <v>333</v>
      </c>
      <c r="AY4" s="200" t="s">
        <v>334</v>
      </c>
      <c r="AZ4" s="200" t="s">
        <v>335</v>
      </c>
    </row>
    <row r="5" spans="2:52" ht="30" customHeight="1" thickBot="1" x14ac:dyDescent="0.2">
      <c r="C5" s="994" t="s">
        <v>111</v>
      </c>
      <c r="D5" s="995"/>
      <c r="E5" s="24"/>
      <c r="G5" s="176"/>
      <c r="H5" s="27"/>
      <c r="I5" s="27"/>
      <c r="J5" s="970"/>
      <c r="K5" s="970"/>
      <c r="L5" s="970"/>
      <c r="M5" s="971"/>
      <c r="N5" s="24"/>
      <c r="Q5" s="93"/>
      <c r="T5" s="117" t="s">
        <v>136</v>
      </c>
      <c r="U5" s="118" t="s">
        <v>137</v>
      </c>
      <c r="V5" s="33" t="s">
        <v>33</v>
      </c>
      <c r="W5" s="33" t="s">
        <v>34</v>
      </c>
      <c r="X5" s="57" t="s">
        <v>108</v>
      </c>
      <c r="Z5" s="18"/>
      <c r="AA5" s="18"/>
      <c r="AC5" s="93"/>
      <c r="AD5" s="18"/>
      <c r="AJ5" s="93"/>
      <c r="AL5" s="953" t="s">
        <v>142</v>
      </c>
      <c r="AM5" s="954"/>
      <c r="AP5" s="93"/>
      <c r="AQ5" s="93"/>
      <c r="AR5" s="184"/>
      <c r="AS5" s="184"/>
      <c r="AT5" s="184"/>
      <c r="AU5" s="186" t="s">
        <v>192</v>
      </c>
      <c r="AV5" s="200" t="s">
        <v>325</v>
      </c>
      <c r="AW5" s="185">
        <v>1</v>
      </c>
      <c r="AX5" s="185"/>
      <c r="AY5" s="185">
        <v>2</v>
      </c>
      <c r="AZ5" s="185"/>
    </row>
    <row r="6" spans="2:52" ht="28.5" customHeight="1" thickBot="1" x14ac:dyDescent="0.2">
      <c r="C6" s="55" t="str">
        <f>IF($D$4="","",VLOOKUP($D$4,'1-1.従業員データ給与改定案入力画面'!$C$10:$AL$1010,2,0))</f>
        <v>ＡＢ</v>
      </c>
      <c r="D6" s="30" t="s">
        <v>32</v>
      </c>
      <c r="E6" s="477"/>
      <c r="G6" s="176"/>
      <c r="H6" s="28"/>
      <c r="I6" s="28"/>
      <c r="J6" s="29">
        <f>IF($D$4="","",VLOOKUP($D$4,'1-1.従業員データ給与改定案入力画面'!$C$10:$AL$1010,31,0)-VLOOKUP($D$4,'1-1.従業員データ給与改定案入力画面'!$C$10:$AL$1010,19,0))</f>
        <v>2000</v>
      </c>
      <c r="K6" s="29">
        <f>IF($D$4="","",VLOOKUP($D$4,'1-1.従業員データ給与改定案入力画面'!$C$10:$AL$1010,32,0)-VLOOKUP($D$4,'1-1.従業員データ給与改定案入力画面'!$C$10:$AL$1010,19,0))</f>
        <v>4000</v>
      </c>
      <c r="L6" s="29">
        <f>IF($D$4="","",VLOOKUP($D$4,'1-1.従業員データ給与改定案入力画面'!$C$10:$AL$1010,30,0)-VLOOKUP($D$4,'1-1.従業員データ給与改定案入力画面'!$C$10:$AL$1010,19,0))</f>
        <v>0</v>
      </c>
      <c r="M6" s="29">
        <f>IF($D$4="","",VLOOKUP($D$4,'1-1.従業員データ給与改定案入力画面'!$C$10:$AL$1010,36,0))</f>
        <v>0</v>
      </c>
      <c r="N6" s="197"/>
      <c r="T6" s="114">
        <f>'2-2.保険料・地方税等入力画面'!$G$7</f>
        <v>0.10290000000000001</v>
      </c>
      <c r="U6" s="115">
        <f>'2-2.保険料・地方税等入力画面'!$H$7</f>
        <v>0.1211</v>
      </c>
      <c r="V6" s="115">
        <f>'2-2.保険料・地方税等入力画面'!$I$7</f>
        <v>1.8199999999999994E-2</v>
      </c>
      <c r="W6" s="115">
        <f>'2-2.保険料・地方税等入力画面'!$J$7</f>
        <v>0.183</v>
      </c>
      <c r="X6" s="116">
        <f>'2-2.保険料・地方税等入力画面'!$E$5</f>
        <v>1.55E-2</v>
      </c>
      <c r="Z6" s="18"/>
      <c r="AA6" s="18"/>
      <c r="AC6" s="18"/>
      <c r="AD6" s="18"/>
      <c r="AL6" s="315" t="s">
        <v>81</v>
      </c>
      <c r="AM6" s="315" t="s">
        <v>65</v>
      </c>
      <c r="AR6" s="184"/>
      <c r="AS6" s="184"/>
      <c r="AT6" s="184"/>
      <c r="AU6" s="186" t="s">
        <v>194</v>
      </c>
      <c r="AV6" s="200" t="s">
        <v>196</v>
      </c>
      <c r="AW6" s="185">
        <v>2</v>
      </c>
      <c r="AX6" s="185"/>
      <c r="AY6" s="185">
        <v>2</v>
      </c>
      <c r="AZ6" s="185"/>
    </row>
    <row r="7" spans="2:52" ht="21" customHeight="1" thickBot="1" x14ac:dyDescent="0.2">
      <c r="C7" s="31" t="s">
        <v>171</v>
      </c>
      <c r="D7" s="32">
        <f>IF($D$4="","",VLOOKUP($D$4,'1-1.従業員データ給与改定案入力画面'!$C$10:$AL$1010,11,0))</f>
        <v>5</v>
      </c>
      <c r="E7" s="403"/>
      <c r="I7" s="700"/>
      <c r="J7" s="377"/>
      <c r="T7" s="154">
        <f>T6/2</f>
        <v>5.1450000000000003E-2</v>
      </c>
      <c r="U7" s="155">
        <f>U6/2</f>
        <v>6.055E-2</v>
      </c>
      <c r="V7" s="155">
        <f>V6/2</f>
        <v>9.099999999999997E-3</v>
      </c>
      <c r="W7" s="155">
        <f>W6/2</f>
        <v>9.1499999999999998E-2</v>
      </c>
      <c r="X7" s="156">
        <f>'2-2.保険料・地方税等入力画面'!$E$6</f>
        <v>6.0000000000000001E-3</v>
      </c>
      <c r="Z7" s="18"/>
      <c r="AA7" s="18"/>
      <c r="AB7" s="18"/>
      <c r="AC7" s="18"/>
      <c r="AD7" s="18"/>
      <c r="AJ7" s="316" t="s">
        <v>130</v>
      </c>
      <c r="AK7" s="19"/>
      <c r="AL7" s="122">
        <f>IF($AJ$8="","",VLOOKUP($AJ$8,'2-2.保険料・地方税等入力画面'!$D$20:$K$79,7,0))</f>
        <v>965000</v>
      </c>
      <c r="AM7" s="122">
        <f>IF($AJ$8="","",VLOOKUP($AJ$8,'2-2.保険料・地方税等入力画面'!$D$20:$K$79,8,0))</f>
        <v>1000000</v>
      </c>
      <c r="AR7" s="184"/>
      <c r="AS7" s="184"/>
      <c r="AT7" s="184"/>
      <c r="AU7" s="186" t="s">
        <v>195</v>
      </c>
      <c r="AV7" s="200" t="s">
        <v>197</v>
      </c>
      <c r="AW7" s="185">
        <v>3</v>
      </c>
      <c r="AX7" s="185">
        <v>1</v>
      </c>
      <c r="AY7" s="185"/>
      <c r="AZ7" s="185">
        <v>1</v>
      </c>
    </row>
    <row r="8" spans="2:52" ht="21" customHeight="1" thickBot="1" x14ac:dyDescent="0.2">
      <c r="C8" s="31" t="s">
        <v>103</v>
      </c>
      <c r="D8" s="32">
        <f>IF($D$4="","",VLOOKUP($D$4,'1-1.従業員データ給与改定案入力画面'!$C$10:$AL$1010,12,0))</f>
        <v>4</v>
      </c>
      <c r="E8" s="403"/>
      <c r="F8" s="30" t="s">
        <v>44</v>
      </c>
      <c r="G8" s="478" t="s">
        <v>319</v>
      </c>
      <c r="H8" s="30" t="s">
        <v>318</v>
      </c>
      <c r="J8" s="977" t="s">
        <v>300</v>
      </c>
      <c r="K8" s="978"/>
      <c r="M8" s="974" t="s">
        <v>109</v>
      </c>
      <c r="N8" s="975"/>
      <c r="O8" s="976"/>
      <c r="AB8" s="18"/>
      <c r="AJ8" s="317" t="str">
        <f>IF($D$4="","",VLOOKUP($D$4,'1-1.従業員データ給与改定案入力画面'!$C$10:$AL$1010,3,0))</f>
        <v>生駒市</v>
      </c>
      <c r="AL8" s="992" t="s">
        <v>64</v>
      </c>
      <c r="AM8" s="992"/>
      <c r="AN8" s="953" t="s">
        <v>65</v>
      </c>
      <c r="AO8" s="993"/>
      <c r="AP8" s="93"/>
    </row>
    <row r="9" spans="2:52" ht="21" customHeight="1" thickBot="1" x14ac:dyDescent="0.2">
      <c r="C9" s="31" t="s">
        <v>296</v>
      </c>
      <c r="D9" s="380">
        <f>IF($D$4="","",VLOOKUP($D$4,'1-1.従業員データ給与改定案入力画面'!$C$10:$AL$1010,15,0))</f>
        <v>1000</v>
      </c>
      <c r="E9" s="403"/>
      <c r="F9" s="339">
        <v>4</v>
      </c>
      <c r="G9" s="339" t="s">
        <v>106</v>
      </c>
      <c r="H9" s="479">
        <v>0</v>
      </c>
      <c r="J9" s="370">
        <v>1000000</v>
      </c>
      <c r="K9" s="372" t="s">
        <v>301</v>
      </c>
      <c r="M9" s="959" t="s">
        <v>199</v>
      </c>
      <c r="N9" s="960"/>
      <c r="O9" s="466">
        <f>IF($D$4="","",IF($J$2="","",IF($J$2=3,VLOOKUP($J$2,$AW$5:$AZ$7,2,0),IF($J$2=2,VLOOKUP($J$2,$AW$5:$AZ$7,3,0),IF($J$2=1,VLOOKUP($J$2,$AW$5:$AZ$7,4,0),"")))))</f>
        <v>1</v>
      </c>
      <c r="P9" s="334" t="s">
        <v>200</v>
      </c>
      <c r="Y9" s="996" t="s">
        <v>113</v>
      </c>
      <c r="AB9" s="18"/>
      <c r="AF9" s="26"/>
      <c r="AL9" s="318" t="s">
        <v>146</v>
      </c>
      <c r="AM9" s="318" t="s">
        <v>145</v>
      </c>
      <c r="AN9" s="314" t="s">
        <v>67</v>
      </c>
      <c r="AO9" s="318" t="s">
        <v>145</v>
      </c>
      <c r="AP9" s="93"/>
    </row>
    <row r="10" spans="2:52" ht="21" customHeight="1" thickBot="1" x14ac:dyDescent="0.2">
      <c r="C10" s="30" t="s">
        <v>19</v>
      </c>
      <c r="D10" s="32">
        <f>IF($D$4="","",VLOOKUP($D$4,'1-1.従業員データ給与改定案入力画面'!$C$10:$AL$1010,7,0))</f>
        <v>26</v>
      </c>
      <c r="E10" s="176"/>
      <c r="F10" s="339">
        <v>3</v>
      </c>
      <c r="G10" s="339">
        <v>4</v>
      </c>
      <c r="H10" s="480">
        <v>0.05</v>
      </c>
      <c r="J10" s="370">
        <v>1000000</v>
      </c>
      <c r="K10" s="373" t="s">
        <v>302</v>
      </c>
      <c r="M10" s="959" t="s">
        <v>123</v>
      </c>
      <c r="N10" s="961"/>
      <c r="O10" s="465">
        <f>$AZ$11</f>
        <v>1300000</v>
      </c>
      <c r="P10" s="58" t="s">
        <v>143</v>
      </c>
      <c r="W10" s="109"/>
      <c r="X10" s="24"/>
      <c r="Y10" s="962"/>
      <c r="AB10" s="18"/>
      <c r="AC10" s="18"/>
      <c r="AL10" s="319">
        <f>IF($AJ$8="","",VLOOKUP($AJ$8,'2-2.保険料・地方税等入力画面'!$D$20:$K$79,2,0))</f>
        <v>2000</v>
      </c>
      <c r="AM10" s="320">
        <f>IF($AJ$8="","",VLOOKUP($AJ$8,'2-2.保険料・地方税等入力画面'!$D$20:$K$79,3,0))</f>
        <v>3500</v>
      </c>
      <c r="AN10" s="321">
        <f>IF($AJ$8="","",VLOOKUP($AJ$8,'2-2.保険料・地方税等入力画面'!$D$20:$K$79,4,0))</f>
        <v>0.04</v>
      </c>
      <c r="AO10" s="322">
        <f>IF($AJ$8="","",VLOOKUP($AJ$8,'2-2.保険料・地方税等入力画面'!$D$20:$K$79,5,0))</f>
        <v>0.06</v>
      </c>
      <c r="AP10" s="93"/>
      <c r="AW10" s="200" t="s">
        <v>208</v>
      </c>
      <c r="AX10" s="946" t="s">
        <v>231</v>
      </c>
      <c r="AY10" s="946"/>
      <c r="AZ10" s="199" t="s">
        <v>234</v>
      </c>
    </row>
    <row r="11" spans="2:52" ht="21" customHeight="1" thickBot="1" x14ac:dyDescent="0.2">
      <c r="C11" s="30" t="s">
        <v>148</v>
      </c>
      <c r="D11" s="32" t="str">
        <f>IF($D$4="","",VLOOKUP($D$4,'1-1.従業員データ給与改定案入力画面'!$C$10:$AL$1010,3,0))</f>
        <v>生駒市</v>
      </c>
      <c r="E11" s="176"/>
      <c r="F11" s="339">
        <v>2</v>
      </c>
      <c r="G11" s="339">
        <v>3</v>
      </c>
      <c r="H11" s="480">
        <v>0.1</v>
      </c>
      <c r="J11" s="370">
        <v>1030000</v>
      </c>
      <c r="K11" s="374" t="s">
        <v>304</v>
      </c>
      <c r="M11" s="957" t="s">
        <v>122</v>
      </c>
      <c r="N11" s="958"/>
      <c r="O11" s="463">
        <f>$AZ$12</f>
        <v>30</v>
      </c>
      <c r="P11" s="58" t="s">
        <v>270</v>
      </c>
      <c r="T11" s="195"/>
      <c r="W11" s="196"/>
      <c r="Y11" s="192">
        <f>$AZ$15</f>
        <v>20</v>
      </c>
      <c r="AC11" s="18"/>
      <c r="AO11" s="131" t="s">
        <v>147</v>
      </c>
      <c r="AW11" s="951" t="s">
        <v>235</v>
      </c>
      <c r="AX11" s="946" t="s">
        <v>240</v>
      </c>
      <c r="AY11" s="946"/>
      <c r="AZ11" s="189">
        <v>1300000</v>
      </c>
    </row>
    <row r="12" spans="2:52" ht="22.5" customHeight="1" thickBot="1" x14ac:dyDescent="0.2">
      <c r="C12" s="133" t="s">
        <v>297</v>
      </c>
      <c r="D12" s="176"/>
      <c r="E12" s="176"/>
      <c r="F12" s="339">
        <v>1</v>
      </c>
      <c r="G12" s="339">
        <v>2</v>
      </c>
      <c r="H12" s="480">
        <v>0.15</v>
      </c>
      <c r="J12" s="371">
        <v>1060000</v>
      </c>
      <c r="K12" s="375" t="s">
        <v>312</v>
      </c>
      <c r="Q12" s="80" t="s">
        <v>105</v>
      </c>
      <c r="R12" s="81" t="s">
        <v>82</v>
      </c>
      <c r="S12" s="82" t="s">
        <v>92</v>
      </c>
      <c r="U12" s="80" t="s">
        <v>105</v>
      </c>
      <c r="V12" s="81" t="s">
        <v>124</v>
      </c>
      <c r="W12" s="190" t="s">
        <v>125</v>
      </c>
      <c r="X12" s="338" t="s">
        <v>92</v>
      </c>
      <c r="Y12" s="63" t="s">
        <v>84</v>
      </c>
      <c r="AA12" s="18"/>
      <c r="AB12" s="20"/>
      <c r="AC12" s="63" t="s">
        <v>116</v>
      </c>
      <c r="AH12" s="157"/>
      <c r="AK12" s="63" t="s">
        <v>116</v>
      </c>
      <c r="AM12" s="92" t="s">
        <v>98</v>
      </c>
      <c r="AN12" s="91" t="s">
        <v>117</v>
      </c>
      <c r="AO12" s="92" t="s">
        <v>16</v>
      </c>
      <c r="AW12" s="952"/>
      <c r="AX12" s="947" t="s">
        <v>232</v>
      </c>
      <c r="AY12" s="947"/>
      <c r="AZ12" s="189">
        <v>30</v>
      </c>
    </row>
    <row r="13" spans="2:52" s="19" customFormat="1" ht="29.25" customHeight="1" thickBot="1" x14ac:dyDescent="0.2">
      <c r="C13" s="32">
        <f>IF($D$4="","",VLOOKUP($D$4,'1-1.従業員データ給与改定案入力画面'!$C$10:$AL$1010,16,0))</f>
        <v>40</v>
      </c>
      <c r="D13" s="177"/>
      <c r="E13" s="177"/>
      <c r="H13" s="367"/>
      <c r="I13" s="187"/>
      <c r="J13" s="370">
        <v>1300000</v>
      </c>
      <c r="K13" s="376" t="s">
        <v>303</v>
      </c>
      <c r="L13" s="366" t="s">
        <v>114</v>
      </c>
      <c r="Q13" s="87">
        <f>IF($O$9="","",$O$9)</f>
        <v>1</v>
      </c>
      <c r="R13" s="88">
        <f>$AZ$13</f>
        <v>88000</v>
      </c>
      <c r="S13" s="198">
        <f>$AZ$16</f>
        <v>40</v>
      </c>
      <c r="T13" s="35"/>
      <c r="U13" s="87">
        <f>IF($O$9="","",$O$9)</f>
        <v>1</v>
      </c>
      <c r="V13" s="88">
        <f>IF($O$10="","",$O$10)</f>
        <v>1300000</v>
      </c>
      <c r="W13" s="88">
        <f>IF($O$11="","",$O$11)</f>
        <v>30</v>
      </c>
      <c r="X13" s="198">
        <f>$AZ$16</f>
        <v>40</v>
      </c>
      <c r="Y13" s="62">
        <f>$X$7</f>
        <v>6.0000000000000001E-3</v>
      </c>
      <c r="Z13" s="17"/>
      <c r="AA13" s="124"/>
      <c r="AC13" s="89">
        <f>'3-2.所得算出参照表'!$I$16</f>
        <v>480000</v>
      </c>
      <c r="AD13" s="17"/>
      <c r="AE13" s="17"/>
      <c r="AF13" s="17"/>
      <c r="AG13" s="94"/>
      <c r="AI13" s="17"/>
      <c r="AJ13" s="17"/>
      <c r="AK13" s="100">
        <f>'3-2.所得算出参照表'!$I$17</f>
        <v>430000</v>
      </c>
      <c r="AL13" s="17"/>
      <c r="AM13" s="101">
        <f>IF($AL$10="",0,$AL$10+$AM$10)</f>
        <v>5500</v>
      </c>
      <c r="AN13" s="102">
        <f>IF($AN$10="",0,$AN$10+$AO$10)</f>
        <v>0.1</v>
      </c>
      <c r="AO13" s="101">
        <f>IF($AN$10="",0,'3-2.所得算出参照表'!$G$22)</f>
        <v>2000000</v>
      </c>
      <c r="AP13" s="948" t="s">
        <v>121</v>
      </c>
      <c r="AQ13" s="17"/>
      <c r="AW13" s="950" t="s">
        <v>236</v>
      </c>
      <c r="AX13" s="946" t="s">
        <v>230</v>
      </c>
      <c r="AY13" s="946"/>
      <c r="AZ13" s="189">
        <v>88000</v>
      </c>
    </row>
    <row r="14" spans="2:52" ht="53.25" customHeight="1" thickBot="1" x14ac:dyDescent="0.2">
      <c r="B14" s="74" t="s">
        <v>18</v>
      </c>
      <c r="C14" s="471" t="s">
        <v>298</v>
      </c>
      <c r="D14" s="471" t="s">
        <v>328</v>
      </c>
      <c r="E14" s="362" t="s">
        <v>329</v>
      </c>
      <c r="F14" s="429" t="s">
        <v>291</v>
      </c>
      <c r="G14" s="362" t="s">
        <v>307</v>
      </c>
      <c r="H14" s="362" t="s">
        <v>172</v>
      </c>
      <c r="I14" s="362" t="s">
        <v>107</v>
      </c>
      <c r="J14" s="368" t="s">
        <v>299</v>
      </c>
      <c r="K14" s="369" t="s">
        <v>259</v>
      </c>
      <c r="L14" s="360" t="s">
        <v>258</v>
      </c>
      <c r="M14" s="193" t="s">
        <v>17</v>
      </c>
      <c r="N14" s="165" t="s">
        <v>164</v>
      </c>
      <c r="O14" s="165" t="s">
        <v>166</v>
      </c>
      <c r="P14" s="193" t="s">
        <v>241</v>
      </c>
      <c r="Q14" s="166" t="s">
        <v>93</v>
      </c>
      <c r="R14" s="64" t="s">
        <v>94</v>
      </c>
      <c r="S14" s="64" t="s">
        <v>95</v>
      </c>
      <c r="T14" s="65" t="s">
        <v>110</v>
      </c>
      <c r="U14" s="52" t="s">
        <v>93</v>
      </c>
      <c r="V14" s="53" t="s">
        <v>94</v>
      </c>
      <c r="W14" s="53" t="s">
        <v>95</v>
      </c>
      <c r="X14" s="54" t="s">
        <v>110</v>
      </c>
      <c r="Y14" s="61" t="s">
        <v>165</v>
      </c>
      <c r="Z14" s="40" t="s">
        <v>115</v>
      </c>
      <c r="AA14" s="83" t="s">
        <v>16</v>
      </c>
      <c r="AB14" s="84" t="s">
        <v>85</v>
      </c>
      <c r="AC14" s="84" t="s">
        <v>56</v>
      </c>
      <c r="AD14" s="84" t="s">
        <v>89</v>
      </c>
      <c r="AE14" s="84" t="s">
        <v>87</v>
      </c>
      <c r="AF14" s="84" t="s">
        <v>88</v>
      </c>
      <c r="AG14" s="84" t="s">
        <v>46</v>
      </c>
      <c r="AH14" s="84" t="s">
        <v>90</v>
      </c>
      <c r="AI14" s="97" t="s">
        <v>91</v>
      </c>
      <c r="AJ14" s="365" t="s">
        <v>85</v>
      </c>
      <c r="AK14" s="53" t="s">
        <v>56</v>
      </c>
      <c r="AL14" s="53" t="s">
        <v>89</v>
      </c>
      <c r="AM14" s="53" t="s">
        <v>96</v>
      </c>
      <c r="AN14" s="53" t="s">
        <v>97</v>
      </c>
      <c r="AO14" s="53" t="s">
        <v>144</v>
      </c>
      <c r="AP14" s="949"/>
      <c r="AW14" s="946"/>
      <c r="AX14" s="947" t="s">
        <v>233</v>
      </c>
      <c r="AY14" s="947"/>
      <c r="AZ14" s="189">
        <v>20</v>
      </c>
    </row>
    <row r="15" spans="2:52" ht="21.95" customHeight="1" thickBot="1" x14ac:dyDescent="0.2">
      <c r="B15" s="21">
        <v>1</v>
      </c>
      <c r="C15" s="59">
        <f>IF($D$4="","",IF($G15&lt;=0,0,IF($F15="","",$D$9+$C$13)))</f>
        <v>1040</v>
      </c>
      <c r="D15" s="476">
        <f>IF($C15="","",IF($F15=0,0,IF($F15&gt;4,0,IF(AND($O$9=1,$G15&lt;20),0,VLOOKUP($F15,$F$9:$H$12,3,0)))))</f>
        <v>0</v>
      </c>
      <c r="E15" s="650">
        <f>IF($C15="","",$C15*(1+$D15))</f>
        <v>1040</v>
      </c>
      <c r="F15" s="382">
        <v>0</v>
      </c>
      <c r="G15" s="649">
        <f>IF($D$4="","",$D$7*$D$8)</f>
        <v>20</v>
      </c>
      <c r="H15" s="363">
        <f t="shared" ref="H15:H44" si="0">IF($D$7="","",IF($G15="","",$G15*365/7))</f>
        <v>1042.8571428571429</v>
      </c>
      <c r="I15" s="361">
        <f t="shared" ref="I15:I44" si="1">IF($D$4="","",IF($E15="",0,$E15*$H15/12))</f>
        <v>90380.952380952382</v>
      </c>
      <c r="J15" s="364">
        <f>IF($D$4="",0,IF($I15=0,0,$I15+$J$6))</f>
        <v>92380.952380952382</v>
      </c>
      <c r="K15" s="73">
        <f t="shared" ref="K15:K44" si="2">IF($D$4="",0,IF($J15=0,0,$J15*12+$M$6))</f>
        <v>1108571.4285714286</v>
      </c>
      <c r="L15" s="359">
        <f>IF($D$4="",0,IF($I15=0,0,$I15+$K$6))</f>
        <v>94380.952380952382</v>
      </c>
      <c r="M15" s="69">
        <f>IF($D$4="",0,IF($L15=0,0,VLOOKUP($L15,'3-1.標準報酬月額・保険料表'!$N$8:$O$57,2,TRUE)))</f>
        <v>98000</v>
      </c>
      <c r="N15" s="163">
        <f t="shared" ref="N15:N44" si="3">IF($D$4="",0,ROUNDDOWN($M$6,-3))</f>
        <v>0</v>
      </c>
      <c r="O15" s="69">
        <f t="shared" ref="O15:O44" si="4">IF($D$4="",0,ROUND($N15/12,0))</f>
        <v>0</v>
      </c>
      <c r="P15" s="163">
        <f t="shared" ref="P15:P44" si="5">IF($D$4="","",IF($I15="",0,$I15+$L$6))</f>
        <v>90380.952380952382</v>
      </c>
      <c r="Q15" s="36">
        <f>IF($D$4="",0,IF($G15&lt;20,0,IF($Q$13="",0,IF($Q$13=2,0,IF($P15&lt;$R$13,0,IF($M15&lt;=620000,VLOOKUP($M15,'3-1.標準報酬月額・保険料表'!$D$8:$L$42,9,FALSE),'3-1.標準報酬月額・保険料表'!$L$42)+ROUNDDOWN($O15*$W$7,0))))))</f>
        <v>8967</v>
      </c>
      <c r="R15" s="25">
        <f>IF($D$4="",0,IF($G15&lt;20,0,IF($O$9="",0,IF($Q$13=2,0,IF($D$10&gt;=$S$13,0,IF($P15&lt;$R$13,0,VLOOKUP($M15,'3-1.標準報酬月額・保険料表'!$D$8:$J$57,6,FALSE)+ROUNDDOWN($O15*$T$7,0)))))))</f>
        <v>5042.1000000000004</v>
      </c>
      <c r="S15" s="25">
        <f>IF($D$4="",0,IF($G15&lt;20,0,IF($Q$13="",0,IF($Q$13=2,0,IF($D$10&lt;$S$13,0,IF($P15&lt;$R$13,0,VLOOKUP($M15,'3-1.標準報酬月額・保険料表'!$D$8:$J$57,7,FALSE)+ROUNDDOWN($O15*$U$7,0)))))))</f>
        <v>0</v>
      </c>
      <c r="T15" s="41">
        <f>SUM($Q15:$S15)</f>
        <v>14009.1</v>
      </c>
      <c r="U15" s="46">
        <f>IF($D$4="",0,IF($U$13="",0,IF($U$13=1,0,IF($G15&lt;$W$13,0,IF($K15&lt;$V$13,0,IF($M15&lt;=620000,VLOOKUP($M15,'3-1.標準報酬月額・保険料表'!$D$8:$L$42,9,FALSE),'3-1.標準報酬月額・保険料表'!$L$42)+ROUNDDOWN($O15*$W$7,0))))))</f>
        <v>0</v>
      </c>
      <c r="V15" s="47">
        <f>IF($D$4="",0,IF($U$13="",0,IF($U$13=1,0,IF($G15&lt;$W$13,0,IF($K15&lt;$V$13,0,IF($D$10&gt;=$X$13,0,VLOOKUP($M15,'3-1.標準報酬月額・保険料表'!$D$8:$J$57,6,FALSE)+ROUNDDOWN($O15*$T$7,0)))))))</f>
        <v>0</v>
      </c>
      <c r="W15" s="47">
        <f>IF($D$4="",0,IF($U$13="",0,IF($U$13=1,0,IF($G15&lt;$W$13,0,IF($K15&lt;$V$13,0,IF($D$10&lt;$X$13,0,VLOOKUP($M15,'3-1.標準報酬月額・保険料表'!$D$8:$J$57,7,FALSE)+ROUNDDOWN($O15*$U$7,0)))))))</f>
        <v>0</v>
      </c>
      <c r="X15" s="48">
        <f>SUM($U15:$W15)</f>
        <v>0</v>
      </c>
      <c r="Y15" s="38">
        <f t="shared" ref="Y15:Y44" si="6">IF($D$4="",0,IF($G15&lt;$Y$11,0,$K15*$Y$13))</f>
        <v>6651.4285714285716</v>
      </c>
      <c r="Z15" s="43">
        <f>IF($D$4="",0,($T15+$X15)*12)+$Y15</f>
        <v>174760.62857142859</v>
      </c>
      <c r="AA15" s="127">
        <f>IF($D$4="","",VLOOKUP($K15,'3-2.所得算出参照表'!K$5:L$10,2,TRUE))</f>
        <v>1625000</v>
      </c>
      <c r="AB15" s="128">
        <f>IF($AA15="",0,IF($AA15='3-2.所得算出参照表'!$B$5,'3-2.所得算出参照表'!$E$5,IF('5-1.併用メニュー（２年目）'!$AA15='3-2.所得算出参照表'!$B$6,'5-1.併用メニュー（２年目）'!$K15*'3-2.所得算出参照表'!$E$6+'3-2.所得算出参照表'!$G$6,IF('5-1.併用メニュー（２年目）'!$AA15='3-2.所得算出参照表'!$B$7,'5-1.併用メニュー（２年目）'!$K15*'3-2.所得算出参照表'!$E$7+'3-2.所得算出参照表'!$G$7,IF('5-1.併用メニュー（２年目）'!$AA15='3-2.所得算出参照表'!$B$8,'5-1.併用メニュー（２年目）'!$K15*'3-2.所得算出参照表'!$E$8+'3-2.所得算出参照表'!$G$8,IF('5-1.併用メニュー（２年目）'!$AA15='3-2.所得算出参照表'!$B$9,'5-1.併用メニュー（２年目）'!$K15*'3-2.所得算出参照表'!$E$9+'3-2.所得算出参照表'!$G$9,IF($AA15='3-2.所得算出参照表'!$B$10,'3-2.所得算出参照表'!$G$10)))))))</f>
        <v>550000</v>
      </c>
      <c r="AC15" s="90">
        <f t="shared" ref="AC15:AC44" si="7">IF($D$4="","",$AC$13)</f>
        <v>480000</v>
      </c>
      <c r="AD15" s="85">
        <f t="shared" ref="AD15:AD44" si="8">IF($AA15="",0,IF(ROUNDDOWN($K15-$Z15-$AB15-$AC15,-3)&lt;=0,0,ROUNDDOWN($K15-$Z15-$AB15-$AC15,-3)))</f>
        <v>0</v>
      </c>
      <c r="AE15" s="129">
        <f>VLOOKUP($AD15,'3-2.所得算出参照表'!$N$4:$O$11,2,TRUE)</f>
        <v>0</v>
      </c>
      <c r="AF15" s="85">
        <f>VLOOKUP($AD15,'3-2.所得算出参照表'!$P$4:$Q$11,2,TRUE)</f>
        <v>0</v>
      </c>
      <c r="AG15" s="85">
        <f>$AD15*AE15-$AF15</f>
        <v>0</v>
      </c>
      <c r="AH15" s="85">
        <f>$AG15*'3-2.所得算出参照表'!$D$14</f>
        <v>0</v>
      </c>
      <c r="AI15" s="98">
        <f>ROUNDDOWN($AG15+$AH15,-2)</f>
        <v>0</v>
      </c>
      <c r="AJ15" s="107">
        <f>IF($AA15="",0,IF($AA15='3-2.所得算出参照表'!$B$5,'3-2.所得算出参照表'!$E$5,IF('5-1.併用メニュー（２年目）'!$AA15='3-2.所得算出参照表'!$B$6,'5-1.併用メニュー（２年目）'!$K15*'3-2.所得算出参照表'!$E$6+'3-2.所得算出参照表'!$G$6,IF('5-1.併用メニュー（２年目）'!$AA15='3-2.所得算出参照表'!$B$7,'5-1.併用メニュー（２年目）'!$K15*'3-2.所得算出参照表'!$E$7+'3-2.所得算出参照表'!$G$7,IF('5-1.併用メニュー（２年目）'!$AA15='3-2.所得算出参照表'!$B$8,'5-1.併用メニュー（２年目）'!$K15*'3-2.所得算出参照表'!$E$8+'3-2.所得算出参照表'!$G$8,IF('5-1.併用メニュー（２年目）'!$AA15='3-2.所得算出参照表'!$B$9,'5-1.併用メニュー（２年目）'!$K15*'3-2.所得算出参照表'!$E$9+'3-2.所得算出参照表'!$G$9,IF($AA15='3-2.所得算出参照表'!$B$10,'3-2.所得算出参照表'!$G$10)))))))</f>
        <v>550000</v>
      </c>
      <c r="AK15" s="47">
        <f t="shared" ref="AK15:AK44" si="9">IF($D$4="","",$AK$13)</f>
        <v>430000</v>
      </c>
      <c r="AL15" s="95">
        <f t="shared" ref="AL15:AL44" si="10">IF($D$4="",0,IF(ROUNDDOWN($K15-$Z15-$AJ15-$AK15,-3)&lt;=0,0,ROUNDDOWN($K15-$Z15-$AJ15-$AK15,-3)))</f>
        <v>0</v>
      </c>
      <c r="AM15" s="95">
        <f t="shared" ref="AM15:AM44" si="11">IF($D$4="",0,IF($K15&lt;$AL$7,0,$AM$13))</f>
        <v>5500</v>
      </c>
      <c r="AN15" s="96">
        <f t="shared" ref="AN15:AN44" si="12">IF($D$4="",0,IF($K15&lt;$AM$7,0,$AN$13))</f>
        <v>0.1</v>
      </c>
      <c r="AO15" s="103">
        <f>IF($AL15*$AN$13=0,0,$AL15*$AN$13-IF($AL15&lt;=$AO$13,($AC15-$AK15)*0.05,IF($AL15&gt;$AO$13,IF($AL15&gt;$AO$13,($AC15-$AK15)-($AL15-$AO$13)*0.05)))+$AM15)</f>
        <v>0</v>
      </c>
      <c r="AP15" s="119">
        <f t="shared" ref="AP15:AP44" si="13">$K15-$Z15-$AI15-$AO15</f>
        <v>933810.8</v>
      </c>
      <c r="AW15" s="200" t="s">
        <v>237</v>
      </c>
      <c r="AX15" s="945" t="s">
        <v>238</v>
      </c>
      <c r="AY15" s="945"/>
      <c r="AZ15" s="191">
        <v>20</v>
      </c>
    </row>
    <row r="16" spans="2:52" ht="21.95" customHeight="1" x14ac:dyDescent="0.15">
      <c r="B16" s="75">
        <v>2</v>
      </c>
      <c r="C16" s="472">
        <f t="shared" ref="C16:C44" si="14">IF($D$4="","",IF($G16&lt;=0,0,IF($F16="","",$D$9+$C$13)))</f>
        <v>1040</v>
      </c>
      <c r="D16" s="475">
        <f t="shared" ref="D16:D44" si="15">IF($C16="","",IF($F16=0,0,IF($F16&gt;4,0,IF(AND($O$9=1,$G16&lt;20),0,VLOOKUP($F16,$F$9:$H$12,3,0)))))</f>
        <v>0.15</v>
      </c>
      <c r="E16" s="474">
        <f t="shared" ref="E16:E44" si="16">IF($C16="","",$C16*(1+$D16))</f>
        <v>1196</v>
      </c>
      <c r="F16" s="430">
        <f>IF($G15&gt;=35,"",$F15+1)</f>
        <v>1</v>
      </c>
      <c r="G16" s="358">
        <f>IF($F16="","",IF($G$15+$F16&gt;35,0,$G$15+$F16))</f>
        <v>21</v>
      </c>
      <c r="H16" s="174">
        <f t="shared" si="0"/>
        <v>1095</v>
      </c>
      <c r="I16" s="72">
        <f t="shared" si="1"/>
        <v>109135</v>
      </c>
      <c r="J16" s="66">
        <f t="shared" ref="J16:J44" si="17">IF($D$4="",0,IF($I16=0,0,$I16+$J$6))</f>
        <v>111135</v>
      </c>
      <c r="K16" s="73">
        <f t="shared" si="2"/>
        <v>1333620</v>
      </c>
      <c r="L16" s="68">
        <f t="shared" ref="L16:L44" si="18">IF($D$4="",0,IF($I16=0,0,$I16+$K$6))</f>
        <v>113135</v>
      </c>
      <c r="M16" s="69">
        <f>IF($D$4="",0,IF($L16=0,0,VLOOKUP($L16,'3-1.標準報酬月額・保険料表'!$N$8:$O$57,2,TRUE)))</f>
        <v>110000</v>
      </c>
      <c r="N16" s="163">
        <f t="shared" si="3"/>
        <v>0</v>
      </c>
      <c r="O16" s="69">
        <f t="shared" si="4"/>
        <v>0</v>
      </c>
      <c r="P16" s="163">
        <f t="shared" si="5"/>
        <v>109135</v>
      </c>
      <c r="Q16" s="36">
        <f>IF($D$4="",0,IF($G16&lt;20,0,IF($Q$13="",0,IF($Q$13=2,0,IF($P16&lt;$R$13,0,IF($M16&lt;=620000,VLOOKUP($M16,'3-1.標準報酬月額・保険料表'!$D$8:$L$42,9,FALSE),'3-1.標準報酬月額・保険料表'!$L$42)+ROUNDDOWN($O16*$W$7,0))))))</f>
        <v>10065</v>
      </c>
      <c r="R16" s="25">
        <f>IF($D$4="",0,IF($G16&lt;20,0,IF($O$9="",0,IF($Q$13=2,0,IF($D$10&gt;=$S$13,0,IF($P16&lt;$R$13,0,VLOOKUP($M16,'3-1.標準報酬月額・保険料表'!$D$8:$J$57,6,FALSE)+ROUNDDOWN($O16*$T$7,0)))))))</f>
        <v>5659.5</v>
      </c>
      <c r="S16" s="25">
        <f>IF($D$4="",0,IF($G16&lt;20,0,IF($Q$13="",0,IF($Q$13=2,0,IF($D$10&lt;$S$13,0,IF($P16&lt;$R$13,0,VLOOKUP($M16,'3-1.標準報酬月額・保険料表'!$D$8:$J$57,7,FALSE)+ROUNDDOWN($O16*$U$7,0)))))))</f>
        <v>0</v>
      </c>
      <c r="T16" s="41">
        <f t="shared" ref="T16:T44" si="19">SUM($Q16:$S16)</f>
        <v>15724.5</v>
      </c>
      <c r="U16" s="46">
        <f>IF($D$4="",0,IF($U$13="",0,IF($U$13=1,0,IF($G16&lt;$W$13,0,IF($K16&lt;$V$13,0,IF($M16&lt;=620000,VLOOKUP($M16,'3-1.標準報酬月額・保険料表'!$D$8:$L$42,9,FALSE),'3-1.標準報酬月額・保険料表'!$L$42)+ROUNDDOWN($O16*$W$7,0))))))</f>
        <v>0</v>
      </c>
      <c r="V16" s="47">
        <f>IF($D$4="",0,IF($U$13="",0,IF($U$13=1,0,IF($G16&lt;$W$13,0,IF($K16&lt;$V$13,0,IF($D$10&gt;=$X$13,0,VLOOKUP($M16,'3-1.標準報酬月額・保険料表'!$D$8:$J$57,6,FALSE)+ROUNDDOWN($O16*$T$7,0)))))))</f>
        <v>0</v>
      </c>
      <c r="W16" s="47">
        <f>IF($D$4="",0,IF($U$13="",0,IF($U$13=1,0,IF($G16&lt;$W$13,0,IF($K16&lt;$V$13,0,IF($D$10&lt;$X$13,0,VLOOKUP($M16,'3-1.標準報酬月額・保険料表'!$D$8:$J$57,7,FALSE)+ROUNDDOWN($O16*$U$7,0)))))))</f>
        <v>0</v>
      </c>
      <c r="X16" s="48">
        <f t="shared" ref="X16:X44" si="20">SUM($U16:$W16)</f>
        <v>0</v>
      </c>
      <c r="Y16" s="38">
        <f t="shared" si="6"/>
        <v>8001.72</v>
      </c>
      <c r="Z16" s="43">
        <f t="shared" ref="Z16:Z44" si="21">IF($D$4="",0,($T16+$X16)*12)+$Y16</f>
        <v>196695.72</v>
      </c>
      <c r="AA16" s="127">
        <f>IF($D$4="","",VLOOKUP($K16,'3-2.所得算出参照表'!K$5:L$10,2,TRUE))</f>
        <v>1625000</v>
      </c>
      <c r="AB16" s="128">
        <f>IF($AA16="",0,IF($AA16='3-2.所得算出参照表'!$B$5,'3-2.所得算出参照表'!$E$5,IF('5-1.併用メニュー（２年目）'!$AA16='3-2.所得算出参照表'!$B$6,'5-1.併用メニュー（２年目）'!$K16*'3-2.所得算出参照表'!$E$6+'3-2.所得算出参照表'!$G$6,IF('5-1.併用メニュー（２年目）'!$AA16='3-2.所得算出参照表'!$B$7,'5-1.併用メニュー（２年目）'!$K16*'3-2.所得算出参照表'!$E$7+'3-2.所得算出参照表'!$G$7,IF('5-1.併用メニュー（２年目）'!$AA16='3-2.所得算出参照表'!$B$8,'5-1.併用メニュー（２年目）'!$K16*'3-2.所得算出参照表'!$E$8+'3-2.所得算出参照表'!$G$8,IF('5-1.併用メニュー（２年目）'!$AA16='3-2.所得算出参照表'!$B$9,'5-1.併用メニュー（２年目）'!$K16*'3-2.所得算出参照表'!$E$9+'3-2.所得算出参照表'!$G$9,IF($AA16='3-2.所得算出参照表'!$B$10,'3-2.所得算出参照表'!$G$10)))))))</f>
        <v>550000</v>
      </c>
      <c r="AC16" s="90">
        <f t="shared" si="7"/>
        <v>480000</v>
      </c>
      <c r="AD16" s="85">
        <f t="shared" si="8"/>
        <v>106000</v>
      </c>
      <c r="AE16" s="130">
        <f>VLOOKUP($AD16,'3-2.所得算出参照表'!$N$4:$O$11,2,TRUE)</f>
        <v>0.05</v>
      </c>
      <c r="AF16" s="85">
        <f>VLOOKUP($AD16,'3-2.所得算出参照表'!$P$4:$Q$11,2,TRUE)</f>
        <v>0</v>
      </c>
      <c r="AG16" s="85">
        <f t="shared" ref="AG16:AG21" si="22">$AD16*AE16-$AF16</f>
        <v>5300</v>
      </c>
      <c r="AH16" s="85">
        <f>$AG16*'3-2.所得算出参照表'!$D$14</f>
        <v>111.30000000000001</v>
      </c>
      <c r="AI16" s="99">
        <f t="shared" ref="AI16:AI21" si="23">ROUNDDOWN($AG16+$AH16,-2)</f>
        <v>5400</v>
      </c>
      <c r="AJ16" s="107">
        <f>IF($AA16="",0,IF($AA16='3-2.所得算出参照表'!$B$5,'3-2.所得算出参照表'!$E$5,IF('5-1.併用メニュー（２年目）'!$AA16='3-2.所得算出参照表'!$B$6,'5-1.併用メニュー（２年目）'!$K16*'3-2.所得算出参照表'!$E$6+'3-2.所得算出参照表'!$G$6,IF('5-1.併用メニュー（２年目）'!$AA16='3-2.所得算出参照表'!$B$7,'5-1.併用メニュー（２年目）'!$K16*'3-2.所得算出参照表'!$E$7+'3-2.所得算出参照表'!$G$7,IF('5-1.併用メニュー（２年目）'!$AA16='3-2.所得算出参照表'!$B$8,'5-1.併用メニュー（２年目）'!$K16*'3-2.所得算出参照表'!$E$8+'3-2.所得算出参照表'!$G$8,IF('5-1.併用メニュー（２年目）'!$AA16='3-2.所得算出参照表'!$B$9,'5-1.併用メニュー（２年目）'!$K16*'3-2.所得算出参照表'!$E$9+'3-2.所得算出参照表'!$G$9,IF($AA16='3-2.所得算出参照表'!$B$10,'3-2.所得算出参照表'!$G$10)))))))</f>
        <v>550000</v>
      </c>
      <c r="AK16" s="47">
        <f t="shared" si="9"/>
        <v>430000</v>
      </c>
      <c r="AL16" s="95">
        <f t="shared" si="10"/>
        <v>156000</v>
      </c>
      <c r="AM16" s="95">
        <f t="shared" si="11"/>
        <v>5500</v>
      </c>
      <c r="AN16" s="96">
        <f t="shared" si="12"/>
        <v>0.1</v>
      </c>
      <c r="AO16" s="103">
        <f t="shared" ref="AO16:AO43" si="24">IF($AL16*$AN$13=0,0,$AL16*$AN$13-IF($AL16&lt;=$AO$13,($AC16-$AK16)*0.05,IF($AL16&gt;$AO$13,IF($AL16&gt;$AO$13,($AC16-$AK16)-($AL16-$AO$13)*0.05)))+$AM16)</f>
        <v>18600</v>
      </c>
      <c r="AP16" s="120">
        <f t="shared" si="13"/>
        <v>1112924.28</v>
      </c>
      <c r="AW16" s="200" t="s">
        <v>271</v>
      </c>
      <c r="AX16" s="945" t="s">
        <v>272</v>
      </c>
      <c r="AY16" s="945"/>
      <c r="AZ16" s="191">
        <v>40</v>
      </c>
    </row>
    <row r="17" spans="2:42" ht="21.95" customHeight="1" x14ac:dyDescent="0.15">
      <c r="B17" s="76">
        <v>3</v>
      </c>
      <c r="C17" s="472">
        <f t="shared" si="14"/>
        <v>1040</v>
      </c>
      <c r="D17" s="475">
        <f t="shared" si="15"/>
        <v>0.1</v>
      </c>
      <c r="E17" s="474">
        <f t="shared" si="16"/>
        <v>1144</v>
      </c>
      <c r="F17" s="431">
        <f t="shared" ref="F17:F44" si="25">IF($G16&gt;=35,"",$F16+1)</f>
        <v>2</v>
      </c>
      <c r="G17" s="60">
        <f t="shared" ref="G17:G44" si="26">IF($F17="","",IF($G$15+$F17&gt;35,0,$G$15+$F17))</f>
        <v>22</v>
      </c>
      <c r="H17" s="174">
        <f t="shared" si="0"/>
        <v>1147.1428571428571</v>
      </c>
      <c r="I17" s="72">
        <f t="shared" si="1"/>
        <v>109360.95238095238</v>
      </c>
      <c r="J17" s="66">
        <f t="shared" si="17"/>
        <v>111360.95238095238</v>
      </c>
      <c r="K17" s="73">
        <f t="shared" si="2"/>
        <v>1336331.4285714286</v>
      </c>
      <c r="L17" s="68">
        <f t="shared" si="18"/>
        <v>113360.95238095238</v>
      </c>
      <c r="M17" s="69">
        <f>IF($D$4="",0,IF($L17=0,0,VLOOKUP($L17,'3-1.標準報酬月額・保険料表'!$N$8:$O$57,2,TRUE)))</f>
        <v>110000</v>
      </c>
      <c r="N17" s="163">
        <f t="shared" si="3"/>
        <v>0</v>
      </c>
      <c r="O17" s="69">
        <f t="shared" si="4"/>
        <v>0</v>
      </c>
      <c r="P17" s="163">
        <f t="shared" si="5"/>
        <v>109360.95238095238</v>
      </c>
      <c r="Q17" s="36">
        <f>IF($D$4="",0,IF($G17&lt;20,0,IF($Q$13="",0,IF($Q$13=2,0,IF($P17&lt;$R$13,0,IF($M17&lt;=620000,VLOOKUP($M17,'3-1.標準報酬月額・保険料表'!$D$8:$L$42,9,FALSE),'3-1.標準報酬月額・保険料表'!$L$42)+ROUNDDOWN($O17*$W$7,0))))))</f>
        <v>10065</v>
      </c>
      <c r="R17" s="25">
        <f>IF($D$4="",0,IF($G17&lt;20,0,IF($O$9="",0,IF($Q$13=2,0,IF($D$10&gt;=$S$13,0,IF($P17&lt;$R$13,0,VLOOKUP($M17,'3-1.標準報酬月額・保険料表'!$D$8:$J$57,6,FALSE)+ROUNDDOWN($O17*$T$7,0)))))))</f>
        <v>5659.5</v>
      </c>
      <c r="S17" s="25">
        <f>IF($D$4="",0,IF($G17&lt;20,0,IF($Q$13="",0,IF($Q$13=2,0,IF($D$10&lt;$S$13,0,IF($P17&lt;$R$13,0,VLOOKUP($M17,'3-1.標準報酬月額・保険料表'!$D$8:$J$57,7,FALSE)+ROUNDDOWN($O17*$U$7,0)))))))</f>
        <v>0</v>
      </c>
      <c r="T17" s="41">
        <f t="shared" si="19"/>
        <v>15724.5</v>
      </c>
      <c r="U17" s="46">
        <f>IF($D$4="",0,IF($U$13="",0,IF($U$13=1,0,IF($G17&lt;$W$13,0,IF($K17&lt;$V$13,0,IF($M17&lt;=620000,VLOOKUP($M17,'3-1.標準報酬月額・保険料表'!$D$8:$L$42,9,FALSE),'3-1.標準報酬月額・保険料表'!$L$42)+ROUNDDOWN($O17*$W$7,0))))))</f>
        <v>0</v>
      </c>
      <c r="V17" s="47">
        <f>IF($D$4="",0,IF($U$13="",0,IF($U$13=1,0,IF($G17&lt;$W$13,0,IF($K17&lt;$V$13,0,IF($D$10&gt;=$X$13,0,VLOOKUP($M17,'3-1.標準報酬月額・保険料表'!$D$8:$J$57,6,FALSE)+ROUNDDOWN($O17*$T$7,0)))))))</f>
        <v>0</v>
      </c>
      <c r="W17" s="47">
        <f>IF($D$4="",0,IF($U$13="",0,IF($U$13=1,0,IF($G17&lt;$W$13,0,IF($K17&lt;$V$13,0,IF($D$10&lt;$X$13,0,VLOOKUP($M17,'3-1.標準報酬月額・保険料表'!$D$8:$J$57,7,FALSE)+ROUNDDOWN($O17*$U$7,0)))))))</f>
        <v>0</v>
      </c>
      <c r="X17" s="48">
        <f t="shared" si="20"/>
        <v>0</v>
      </c>
      <c r="Y17" s="38">
        <f t="shared" si="6"/>
        <v>8017.988571428572</v>
      </c>
      <c r="Z17" s="43">
        <f t="shared" si="21"/>
        <v>196711.98857142858</v>
      </c>
      <c r="AA17" s="127">
        <f>IF($D$4="","",VLOOKUP($K17,'3-2.所得算出参照表'!K$5:L$10,2,TRUE))</f>
        <v>1625000</v>
      </c>
      <c r="AB17" s="128">
        <f>IF($AA17="",0,IF($AA17='3-2.所得算出参照表'!$B$5,'3-2.所得算出参照表'!$E$5,IF('5-1.併用メニュー（２年目）'!$AA17='3-2.所得算出参照表'!$B$6,'5-1.併用メニュー（２年目）'!$K17*'3-2.所得算出参照表'!$E$6+'3-2.所得算出参照表'!$G$6,IF('5-1.併用メニュー（２年目）'!$AA17='3-2.所得算出参照表'!$B$7,'5-1.併用メニュー（２年目）'!$K17*'3-2.所得算出参照表'!$E$7+'3-2.所得算出参照表'!$G$7,IF('5-1.併用メニュー（２年目）'!$AA17='3-2.所得算出参照表'!$B$8,'5-1.併用メニュー（２年目）'!$K17*'3-2.所得算出参照表'!$E$8+'3-2.所得算出参照表'!$G$8,IF('5-1.併用メニュー（２年目）'!$AA17='3-2.所得算出参照表'!$B$9,'5-1.併用メニュー（２年目）'!$K17*'3-2.所得算出参照表'!$E$9+'3-2.所得算出参照表'!$G$9,IF($AA17='3-2.所得算出参照表'!$B$10,'3-2.所得算出参照表'!$G$10)))))))</f>
        <v>550000</v>
      </c>
      <c r="AC17" s="90">
        <f t="shared" si="7"/>
        <v>480000</v>
      </c>
      <c r="AD17" s="85">
        <f t="shared" si="8"/>
        <v>109000</v>
      </c>
      <c r="AE17" s="130">
        <f>VLOOKUP($AD17,'3-2.所得算出参照表'!$N$4:$O$11,2,TRUE)</f>
        <v>0.05</v>
      </c>
      <c r="AF17" s="85">
        <f>VLOOKUP($AD17,'3-2.所得算出参照表'!$P$4:$Q$11,2,TRUE)</f>
        <v>0</v>
      </c>
      <c r="AG17" s="85">
        <f t="shared" si="22"/>
        <v>5450</v>
      </c>
      <c r="AH17" s="85">
        <f>$AG17*'3-2.所得算出参照表'!$D$14</f>
        <v>114.45</v>
      </c>
      <c r="AI17" s="99">
        <f t="shared" si="23"/>
        <v>5500</v>
      </c>
      <c r="AJ17" s="107">
        <f>IF($AA17="",0,IF($AA17='3-2.所得算出参照表'!$B$5,'3-2.所得算出参照表'!$E$5,IF('5-1.併用メニュー（２年目）'!$AA17='3-2.所得算出参照表'!$B$6,'5-1.併用メニュー（２年目）'!$K17*'3-2.所得算出参照表'!$E$6+'3-2.所得算出参照表'!$G$6,IF('5-1.併用メニュー（２年目）'!$AA17='3-2.所得算出参照表'!$B$7,'5-1.併用メニュー（２年目）'!$K17*'3-2.所得算出参照表'!$E$7+'3-2.所得算出参照表'!$G$7,IF('5-1.併用メニュー（２年目）'!$AA17='3-2.所得算出参照表'!$B$8,'5-1.併用メニュー（２年目）'!$K17*'3-2.所得算出参照表'!$E$8+'3-2.所得算出参照表'!$G$8,IF('5-1.併用メニュー（２年目）'!$AA17='3-2.所得算出参照表'!$B$9,'5-1.併用メニュー（２年目）'!$K17*'3-2.所得算出参照表'!$E$9+'3-2.所得算出参照表'!$G$9,IF($AA17='3-2.所得算出参照表'!$B$10,'3-2.所得算出参照表'!$G$10)))))))</f>
        <v>550000</v>
      </c>
      <c r="AK17" s="47">
        <f t="shared" si="9"/>
        <v>430000</v>
      </c>
      <c r="AL17" s="95">
        <f t="shared" si="10"/>
        <v>159000</v>
      </c>
      <c r="AM17" s="95">
        <f t="shared" si="11"/>
        <v>5500</v>
      </c>
      <c r="AN17" s="96">
        <f t="shared" si="12"/>
        <v>0.1</v>
      </c>
      <c r="AO17" s="103">
        <f t="shared" si="24"/>
        <v>18900</v>
      </c>
      <c r="AP17" s="120">
        <f t="shared" si="13"/>
        <v>1115219.44</v>
      </c>
    </row>
    <row r="18" spans="2:42" ht="21.95" customHeight="1" x14ac:dyDescent="0.15">
      <c r="B18" s="75">
        <v>4</v>
      </c>
      <c r="C18" s="472">
        <f t="shared" si="14"/>
        <v>1040</v>
      </c>
      <c r="D18" s="475">
        <f t="shared" si="15"/>
        <v>0.05</v>
      </c>
      <c r="E18" s="474">
        <f t="shared" si="16"/>
        <v>1092</v>
      </c>
      <c r="F18" s="431">
        <f t="shared" si="25"/>
        <v>3</v>
      </c>
      <c r="G18" s="60">
        <f t="shared" si="26"/>
        <v>23</v>
      </c>
      <c r="H18" s="174">
        <f t="shared" si="0"/>
        <v>1199.2857142857142</v>
      </c>
      <c r="I18" s="72">
        <f t="shared" si="1"/>
        <v>109135</v>
      </c>
      <c r="J18" s="66">
        <f t="shared" si="17"/>
        <v>111135</v>
      </c>
      <c r="K18" s="73">
        <f t="shared" si="2"/>
        <v>1333620</v>
      </c>
      <c r="L18" s="68">
        <f t="shared" si="18"/>
        <v>113135</v>
      </c>
      <c r="M18" s="69">
        <f>IF($D$4="",0,IF($L18=0,0,VLOOKUP($L18,'3-1.標準報酬月額・保険料表'!$N$8:$O$57,2,TRUE)))</f>
        <v>110000</v>
      </c>
      <c r="N18" s="163">
        <f t="shared" si="3"/>
        <v>0</v>
      </c>
      <c r="O18" s="69">
        <f t="shared" si="4"/>
        <v>0</v>
      </c>
      <c r="P18" s="163">
        <f t="shared" si="5"/>
        <v>109135</v>
      </c>
      <c r="Q18" s="36">
        <f>IF($D$4="",0,IF($G18&lt;20,0,IF($Q$13="",0,IF($Q$13=2,0,IF($P18&lt;$R$13,0,IF($M18&lt;=620000,VLOOKUP($M18,'3-1.標準報酬月額・保険料表'!$D$8:$L$42,9,FALSE),'3-1.標準報酬月額・保険料表'!$L$42)+ROUNDDOWN($O18*$W$7,0))))))</f>
        <v>10065</v>
      </c>
      <c r="R18" s="25">
        <f>IF($D$4="",0,IF($G18&lt;20,0,IF($O$9="",0,IF($Q$13=2,0,IF($D$10&gt;=$S$13,0,IF($P18&lt;$R$13,0,VLOOKUP($M18,'3-1.標準報酬月額・保険料表'!$D$8:$J$57,6,FALSE)+ROUNDDOWN($O18*$T$7,0)))))))</f>
        <v>5659.5</v>
      </c>
      <c r="S18" s="25">
        <f>IF($D$4="",0,IF($G18&lt;20,0,IF($Q$13="",0,IF($Q$13=2,0,IF($D$10&lt;$S$13,0,IF($P18&lt;$R$13,0,VLOOKUP($M18,'3-1.標準報酬月額・保険料表'!$D$8:$J$57,7,FALSE)+ROUNDDOWN($O18*$U$7,0)))))))</f>
        <v>0</v>
      </c>
      <c r="T18" s="41">
        <f t="shared" si="19"/>
        <v>15724.5</v>
      </c>
      <c r="U18" s="46">
        <f>IF($D$4="",0,IF($U$13="",0,IF($U$13=1,0,IF($G18&lt;$W$13,0,IF($K18&lt;$V$13,0,IF($M18&lt;=620000,VLOOKUP($M18,'3-1.標準報酬月額・保険料表'!$D$8:$L$42,9,FALSE),'3-1.標準報酬月額・保険料表'!$L$42)+ROUNDDOWN($O18*$W$7,0))))))</f>
        <v>0</v>
      </c>
      <c r="V18" s="47">
        <f>IF($D$4="",0,IF($U$13="",0,IF($U$13=1,0,IF($G18&lt;$W$13,0,IF($K18&lt;$V$13,0,IF($D$10&gt;=$X$13,0,VLOOKUP($M18,'3-1.標準報酬月額・保険料表'!$D$8:$J$57,6,FALSE)+ROUNDDOWN($O18*$T$7,0)))))))</f>
        <v>0</v>
      </c>
      <c r="W18" s="47">
        <f>IF($D$4="",0,IF($U$13="",0,IF($U$13=1,0,IF($G18&lt;$W$13,0,IF($K18&lt;$V$13,0,IF($D$10&lt;$X$13,0,VLOOKUP($M18,'3-1.標準報酬月額・保険料表'!$D$8:$J$57,7,FALSE)+ROUNDDOWN($O18*$U$7,0)))))))</f>
        <v>0</v>
      </c>
      <c r="X18" s="48">
        <f t="shared" si="20"/>
        <v>0</v>
      </c>
      <c r="Y18" s="38">
        <f t="shared" si="6"/>
        <v>8001.72</v>
      </c>
      <c r="Z18" s="43">
        <f t="shared" si="21"/>
        <v>196695.72</v>
      </c>
      <c r="AA18" s="127">
        <f>IF($D$4="","",VLOOKUP($K18,'3-2.所得算出参照表'!K$5:L$10,2,TRUE))</f>
        <v>1625000</v>
      </c>
      <c r="AB18" s="128">
        <f>IF($AA18="",0,IF($AA18='3-2.所得算出参照表'!$B$5,'3-2.所得算出参照表'!$E$5,IF('5-1.併用メニュー（２年目）'!$AA18='3-2.所得算出参照表'!$B$6,'5-1.併用メニュー（２年目）'!$K18*'3-2.所得算出参照表'!$E$6+'3-2.所得算出参照表'!$G$6,IF('5-1.併用メニュー（２年目）'!$AA18='3-2.所得算出参照表'!$B$7,'5-1.併用メニュー（２年目）'!$K18*'3-2.所得算出参照表'!$E$7+'3-2.所得算出参照表'!$G$7,IF('5-1.併用メニュー（２年目）'!$AA18='3-2.所得算出参照表'!$B$8,'5-1.併用メニュー（２年目）'!$K18*'3-2.所得算出参照表'!$E$8+'3-2.所得算出参照表'!$G$8,IF('5-1.併用メニュー（２年目）'!$AA18='3-2.所得算出参照表'!$B$9,'5-1.併用メニュー（２年目）'!$K18*'3-2.所得算出参照表'!$E$9+'3-2.所得算出参照表'!$G$9,IF($AA18='3-2.所得算出参照表'!$B$10,'3-2.所得算出参照表'!$G$10)))))))</f>
        <v>550000</v>
      </c>
      <c r="AC18" s="90">
        <f t="shared" si="7"/>
        <v>480000</v>
      </c>
      <c r="AD18" s="85">
        <f t="shared" si="8"/>
        <v>106000</v>
      </c>
      <c r="AE18" s="130">
        <f>VLOOKUP($AD18,'3-2.所得算出参照表'!$N$4:$O$11,2,TRUE)</f>
        <v>0.05</v>
      </c>
      <c r="AF18" s="85">
        <f>VLOOKUP($AD18,'3-2.所得算出参照表'!$P$4:$Q$11,2,TRUE)</f>
        <v>0</v>
      </c>
      <c r="AG18" s="85">
        <f t="shared" si="22"/>
        <v>5300</v>
      </c>
      <c r="AH18" s="85">
        <f>$AG18*'3-2.所得算出参照表'!$D$14</f>
        <v>111.30000000000001</v>
      </c>
      <c r="AI18" s="99">
        <f t="shared" si="23"/>
        <v>5400</v>
      </c>
      <c r="AJ18" s="107">
        <f>IF($AA18="",0,IF($AA18='3-2.所得算出参照表'!$B$5,'3-2.所得算出参照表'!$E$5,IF('5-1.併用メニュー（２年目）'!$AA18='3-2.所得算出参照表'!$B$6,'5-1.併用メニュー（２年目）'!$K18*'3-2.所得算出参照表'!$E$6+'3-2.所得算出参照表'!$G$6,IF('5-1.併用メニュー（２年目）'!$AA18='3-2.所得算出参照表'!$B$7,'5-1.併用メニュー（２年目）'!$K18*'3-2.所得算出参照表'!$E$7+'3-2.所得算出参照表'!$G$7,IF('5-1.併用メニュー（２年目）'!$AA18='3-2.所得算出参照表'!$B$8,'5-1.併用メニュー（２年目）'!$K18*'3-2.所得算出参照表'!$E$8+'3-2.所得算出参照表'!$G$8,IF('5-1.併用メニュー（２年目）'!$AA18='3-2.所得算出参照表'!$B$9,'5-1.併用メニュー（２年目）'!$K18*'3-2.所得算出参照表'!$E$9+'3-2.所得算出参照表'!$G$9,IF($AA18='3-2.所得算出参照表'!$B$10,'3-2.所得算出参照表'!$G$10)))))))</f>
        <v>550000</v>
      </c>
      <c r="AK18" s="47">
        <f t="shared" si="9"/>
        <v>430000</v>
      </c>
      <c r="AL18" s="95">
        <f t="shared" si="10"/>
        <v>156000</v>
      </c>
      <c r="AM18" s="95">
        <f t="shared" si="11"/>
        <v>5500</v>
      </c>
      <c r="AN18" s="96">
        <f t="shared" si="12"/>
        <v>0.1</v>
      </c>
      <c r="AO18" s="103">
        <f t="shared" si="24"/>
        <v>18600</v>
      </c>
      <c r="AP18" s="120">
        <f t="shared" si="13"/>
        <v>1112924.28</v>
      </c>
    </row>
    <row r="19" spans="2:42" ht="21.95" customHeight="1" x14ac:dyDescent="0.15">
      <c r="B19" s="76">
        <v>5</v>
      </c>
      <c r="C19" s="472">
        <f t="shared" si="14"/>
        <v>1040</v>
      </c>
      <c r="D19" s="475">
        <f t="shared" si="15"/>
        <v>0</v>
      </c>
      <c r="E19" s="474">
        <f t="shared" si="16"/>
        <v>1040</v>
      </c>
      <c r="F19" s="431">
        <f t="shared" si="25"/>
        <v>4</v>
      </c>
      <c r="G19" s="60">
        <f t="shared" si="26"/>
        <v>24</v>
      </c>
      <c r="H19" s="174">
        <f t="shared" si="0"/>
        <v>1251.4285714285713</v>
      </c>
      <c r="I19" s="72">
        <f t="shared" si="1"/>
        <v>108457.14285714284</v>
      </c>
      <c r="J19" s="66">
        <f t="shared" si="17"/>
        <v>110457.14285714284</v>
      </c>
      <c r="K19" s="73">
        <f t="shared" si="2"/>
        <v>1325485.7142857141</v>
      </c>
      <c r="L19" s="68">
        <f t="shared" si="18"/>
        <v>112457.14285714284</v>
      </c>
      <c r="M19" s="69">
        <f>IF($D$4="",0,IF($L19=0,0,VLOOKUP($L19,'3-1.標準報酬月額・保険料表'!$N$8:$O$57,2,TRUE)))</f>
        <v>110000</v>
      </c>
      <c r="N19" s="163">
        <f t="shared" si="3"/>
        <v>0</v>
      </c>
      <c r="O19" s="69">
        <f t="shared" si="4"/>
        <v>0</v>
      </c>
      <c r="P19" s="163">
        <f t="shared" si="5"/>
        <v>108457.14285714284</v>
      </c>
      <c r="Q19" s="36">
        <f>IF($D$4="",0,IF($G19&lt;20,0,IF($Q$13="",0,IF($Q$13=2,0,IF($P19&lt;$R$13,0,IF($M19&lt;=620000,VLOOKUP($M19,'3-1.標準報酬月額・保険料表'!$D$8:$L$42,9,FALSE),'3-1.標準報酬月額・保険料表'!$L$42)+ROUNDDOWN($O19*$W$7,0))))))</f>
        <v>10065</v>
      </c>
      <c r="R19" s="25">
        <f>IF($D$4="",0,IF($G19&lt;20,0,IF($O$9="",0,IF($Q$13=2,0,IF($D$10&gt;=$S$13,0,IF($P19&lt;$R$13,0,VLOOKUP($M19,'3-1.標準報酬月額・保険料表'!$D$8:$J$57,6,FALSE)+ROUNDDOWN($O19*$T$7,0)))))))</f>
        <v>5659.5</v>
      </c>
      <c r="S19" s="25">
        <f>IF($D$4="",0,IF($G19&lt;20,0,IF($Q$13="",0,IF($Q$13=2,0,IF($D$10&lt;$S$13,0,IF($P19&lt;$R$13,0,VLOOKUP($M19,'3-1.標準報酬月額・保険料表'!$D$8:$J$57,7,FALSE)+ROUNDDOWN($O19*$U$7,0)))))))</f>
        <v>0</v>
      </c>
      <c r="T19" s="41">
        <f t="shared" si="19"/>
        <v>15724.5</v>
      </c>
      <c r="U19" s="46">
        <f>IF($D$4="",0,IF($U$13="",0,IF($U$13=1,0,IF($G19&lt;$W$13,0,IF($K19&lt;$V$13,0,IF($M19&lt;=620000,VLOOKUP($M19,'3-1.標準報酬月額・保険料表'!$D$8:$L$42,9,FALSE),'3-1.標準報酬月額・保険料表'!$L$42)+ROUNDDOWN($O19*$W$7,0))))))</f>
        <v>0</v>
      </c>
      <c r="V19" s="47">
        <f>IF($D$4="",0,IF($U$13="",0,IF($U$13=1,0,IF($G19&lt;$W$13,0,IF($K19&lt;$V$13,0,IF($D$10&gt;=$X$13,0,VLOOKUP($M19,'3-1.標準報酬月額・保険料表'!$D$8:$J$57,6,FALSE)+ROUNDDOWN($O19*$T$7,0)))))))</f>
        <v>0</v>
      </c>
      <c r="W19" s="47">
        <f>IF($D$4="",0,IF($U$13="",0,IF($U$13=1,0,IF($G19&lt;$W$13,0,IF($K19&lt;$V$13,0,IF($D$10&lt;$X$13,0,VLOOKUP($M19,'3-1.標準報酬月額・保険料表'!$D$8:$J$57,7,FALSE)+ROUNDDOWN($O19*$U$7,0)))))))</f>
        <v>0</v>
      </c>
      <c r="X19" s="48">
        <f t="shared" si="20"/>
        <v>0</v>
      </c>
      <c r="Y19" s="38">
        <f t="shared" si="6"/>
        <v>7952.9142857142842</v>
      </c>
      <c r="Z19" s="43">
        <f t="shared" si="21"/>
        <v>196646.91428571427</v>
      </c>
      <c r="AA19" s="127">
        <f>IF($D$4="","",VLOOKUP($K19,'3-2.所得算出参照表'!K$5:L$10,2,TRUE))</f>
        <v>1625000</v>
      </c>
      <c r="AB19" s="128">
        <f>IF($AA19="",0,IF($AA19='3-2.所得算出参照表'!$B$5,'3-2.所得算出参照表'!$E$5,IF('5-1.併用メニュー（２年目）'!$AA19='3-2.所得算出参照表'!$B$6,'5-1.併用メニュー（２年目）'!$K19*'3-2.所得算出参照表'!$E$6+'3-2.所得算出参照表'!$G$6,IF('5-1.併用メニュー（２年目）'!$AA19='3-2.所得算出参照表'!$B$7,'5-1.併用メニュー（２年目）'!$K19*'3-2.所得算出参照表'!$E$7+'3-2.所得算出参照表'!$G$7,IF('5-1.併用メニュー（２年目）'!$AA19='3-2.所得算出参照表'!$B$8,'5-1.併用メニュー（２年目）'!$K19*'3-2.所得算出参照表'!$E$8+'3-2.所得算出参照表'!$G$8,IF('5-1.併用メニュー（２年目）'!$AA19='3-2.所得算出参照表'!$B$9,'5-1.併用メニュー（２年目）'!$K19*'3-2.所得算出参照表'!$E$9+'3-2.所得算出参照表'!$G$9,IF($AA19='3-2.所得算出参照表'!$B$10,'3-2.所得算出参照表'!$G$10)))))))</f>
        <v>550000</v>
      </c>
      <c r="AC19" s="90">
        <f t="shared" si="7"/>
        <v>480000</v>
      </c>
      <c r="AD19" s="85">
        <f t="shared" si="8"/>
        <v>98000</v>
      </c>
      <c r="AE19" s="130">
        <f>VLOOKUP($AD19,'3-2.所得算出参照表'!$N$4:$O$11,2,TRUE)</f>
        <v>0.05</v>
      </c>
      <c r="AF19" s="85">
        <f>VLOOKUP($AD19,'3-2.所得算出参照表'!$P$4:$Q$11,2,TRUE)</f>
        <v>0</v>
      </c>
      <c r="AG19" s="85">
        <f t="shared" si="22"/>
        <v>4900</v>
      </c>
      <c r="AH19" s="85">
        <f>$AG19*'3-2.所得算出参照表'!$D$14</f>
        <v>102.9</v>
      </c>
      <c r="AI19" s="99">
        <f t="shared" si="23"/>
        <v>5000</v>
      </c>
      <c r="AJ19" s="107">
        <f>IF($AA19="",0,IF($AA19='3-2.所得算出参照表'!$B$5,'3-2.所得算出参照表'!$E$5,IF('5-1.併用メニュー（２年目）'!$AA19='3-2.所得算出参照表'!$B$6,'5-1.併用メニュー（２年目）'!$K19*'3-2.所得算出参照表'!$E$6+'3-2.所得算出参照表'!$G$6,IF('5-1.併用メニュー（２年目）'!$AA19='3-2.所得算出参照表'!$B$7,'5-1.併用メニュー（２年目）'!$K19*'3-2.所得算出参照表'!$E$7+'3-2.所得算出参照表'!$G$7,IF('5-1.併用メニュー（２年目）'!$AA19='3-2.所得算出参照表'!$B$8,'5-1.併用メニュー（２年目）'!$K19*'3-2.所得算出参照表'!$E$8+'3-2.所得算出参照表'!$G$8,IF('5-1.併用メニュー（２年目）'!$AA19='3-2.所得算出参照表'!$B$9,'5-1.併用メニュー（２年目）'!$K19*'3-2.所得算出参照表'!$E$9+'3-2.所得算出参照表'!$G$9,IF($AA19='3-2.所得算出参照表'!$B$10,'3-2.所得算出参照表'!$G$10)))))))</f>
        <v>550000</v>
      </c>
      <c r="AK19" s="47">
        <f t="shared" si="9"/>
        <v>430000</v>
      </c>
      <c r="AL19" s="95">
        <f t="shared" si="10"/>
        <v>148000</v>
      </c>
      <c r="AM19" s="95">
        <f t="shared" si="11"/>
        <v>5500</v>
      </c>
      <c r="AN19" s="96">
        <f t="shared" si="12"/>
        <v>0.1</v>
      </c>
      <c r="AO19" s="103">
        <f t="shared" si="24"/>
        <v>17800</v>
      </c>
      <c r="AP19" s="120">
        <f t="shared" si="13"/>
        <v>1106038.7999999998</v>
      </c>
    </row>
    <row r="20" spans="2:42" ht="21.95" customHeight="1" x14ac:dyDescent="0.15">
      <c r="B20" s="76">
        <v>6</v>
      </c>
      <c r="C20" s="472">
        <f t="shared" si="14"/>
        <v>1040</v>
      </c>
      <c r="D20" s="475">
        <f t="shared" si="15"/>
        <v>0</v>
      </c>
      <c r="E20" s="474">
        <f t="shared" si="16"/>
        <v>1040</v>
      </c>
      <c r="F20" s="431">
        <f t="shared" si="25"/>
        <v>5</v>
      </c>
      <c r="G20" s="60">
        <f t="shared" si="26"/>
        <v>25</v>
      </c>
      <c r="H20" s="174">
        <f t="shared" si="0"/>
        <v>1303.5714285714287</v>
      </c>
      <c r="I20" s="72">
        <f t="shared" si="1"/>
        <v>112976.19047619049</v>
      </c>
      <c r="J20" s="66">
        <f t="shared" si="17"/>
        <v>114976.19047619049</v>
      </c>
      <c r="K20" s="73">
        <f t="shared" si="2"/>
        <v>1379714.2857142859</v>
      </c>
      <c r="L20" s="68">
        <f t="shared" si="18"/>
        <v>116976.19047619049</v>
      </c>
      <c r="M20" s="69">
        <f>IF($D$4="",0,IF($L20=0,0,VLOOKUP($L20,'3-1.標準報酬月額・保険料表'!$N$8:$O$57,2,TRUE)))</f>
        <v>118000</v>
      </c>
      <c r="N20" s="163">
        <f t="shared" si="3"/>
        <v>0</v>
      </c>
      <c r="O20" s="69">
        <f t="shared" si="4"/>
        <v>0</v>
      </c>
      <c r="P20" s="163">
        <f t="shared" si="5"/>
        <v>112976.19047619049</v>
      </c>
      <c r="Q20" s="36">
        <f>IF($D$4="",0,IF($G20&lt;20,0,IF($Q$13="",0,IF($Q$13=2,0,IF($P20&lt;$R$13,0,IF($M20&lt;=620000,VLOOKUP($M20,'3-1.標準報酬月額・保険料表'!$D$8:$L$42,9,FALSE),'3-1.標準報酬月額・保険料表'!$L$42)+ROUNDDOWN($O20*$W$7,0))))))</f>
        <v>10797</v>
      </c>
      <c r="R20" s="25">
        <f>IF($D$4="",0,IF($G20&lt;20,0,IF($O$9="",0,IF($Q$13=2,0,IF($D$10&gt;=$S$13,0,IF($P20&lt;$R$13,0,VLOOKUP($M20,'3-1.標準報酬月額・保険料表'!$D$8:$J$57,6,FALSE)+ROUNDDOWN($O20*$T$7,0)))))))</f>
        <v>6071.1</v>
      </c>
      <c r="S20" s="25">
        <f>IF($D$4="",0,IF($G20&lt;20,0,IF($Q$13="",0,IF($Q$13=2,0,IF($D$10&lt;$S$13,0,IF($P20&lt;$R$13,0,VLOOKUP($M20,'3-1.標準報酬月額・保険料表'!$D$8:$J$57,7,FALSE)+ROUNDDOWN($O20*$U$7,0)))))))</f>
        <v>0</v>
      </c>
      <c r="T20" s="41">
        <f t="shared" si="19"/>
        <v>16868.099999999999</v>
      </c>
      <c r="U20" s="46">
        <f>IF($D$4="",0,IF($U$13="",0,IF($U$13=1,0,IF($G20&lt;$W$13,0,IF($K20&lt;$V$13,0,IF($M20&lt;=620000,VLOOKUP($M20,'3-1.標準報酬月額・保険料表'!$D$8:$L$42,9,FALSE),'3-1.標準報酬月額・保険料表'!$L$42)+ROUNDDOWN($O20*$W$7,0))))))</f>
        <v>0</v>
      </c>
      <c r="V20" s="47">
        <f>IF($D$4="",0,IF($U$13="",0,IF($U$13=1,0,IF($G20&lt;$W$13,0,IF($K20&lt;$V$13,0,IF($D$10&gt;=$X$13,0,VLOOKUP($M20,'3-1.標準報酬月額・保険料表'!$D$8:$J$57,6,FALSE)+ROUNDDOWN($O20*$T$7,0)))))))</f>
        <v>0</v>
      </c>
      <c r="W20" s="47">
        <f>IF($D$4="",0,IF($U$13="",0,IF($U$13=1,0,IF($G20&lt;$W$13,0,IF($K20&lt;$V$13,0,IF($D$10&lt;$X$13,0,VLOOKUP($M20,'3-1.標準報酬月額・保険料表'!$D$8:$J$57,7,FALSE)+ROUNDDOWN($O20*$U$7,0)))))))</f>
        <v>0</v>
      </c>
      <c r="X20" s="48">
        <f t="shared" si="20"/>
        <v>0</v>
      </c>
      <c r="Y20" s="38">
        <f t="shared" si="6"/>
        <v>8278.2857142857156</v>
      </c>
      <c r="Z20" s="43">
        <f t="shared" si="21"/>
        <v>210695.48571428569</v>
      </c>
      <c r="AA20" s="127">
        <f>IF($D$4="","",VLOOKUP($K20,'3-2.所得算出参照表'!K$5:L$10,2,TRUE))</f>
        <v>1625000</v>
      </c>
      <c r="AB20" s="128">
        <f>IF($AA20="",0,IF($AA20='3-2.所得算出参照表'!$B$5,'3-2.所得算出参照表'!$E$5,IF('5-1.併用メニュー（２年目）'!$AA20='3-2.所得算出参照表'!$B$6,'5-1.併用メニュー（２年目）'!$K20*'3-2.所得算出参照表'!$E$6+'3-2.所得算出参照表'!$G$6,IF('5-1.併用メニュー（２年目）'!$AA20='3-2.所得算出参照表'!$B$7,'5-1.併用メニュー（２年目）'!$K20*'3-2.所得算出参照表'!$E$7+'3-2.所得算出参照表'!$G$7,IF('5-1.併用メニュー（２年目）'!$AA20='3-2.所得算出参照表'!$B$8,'5-1.併用メニュー（２年目）'!$K20*'3-2.所得算出参照表'!$E$8+'3-2.所得算出参照表'!$G$8,IF('5-1.併用メニュー（２年目）'!$AA20='3-2.所得算出参照表'!$B$9,'5-1.併用メニュー（２年目）'!$K20*'3-2.所得算出参照表'!$E$9+'3-2.所得算出参照表'!$G$9,IF($AA20='3-2.所得算出参照表'!$B$10,'3-2.所得算出参照表'!$G$10)))))))</f>
        <v>550000</v>
      </c>
      <c r="AC20" s="90">
        <f t="shared" si="7"/>
        <v>480000</v>
      </c>
      <c r="AD20" s="85">
        <f t="shared" si="8"/>
        <v>139000</v>
      </c>
      <c r="AE20" s="130">
        <f>VLOOKUP($AD20,'3-2.所得算出参照表'!$N$4:$O$11,2,TRUE)</f>
        <v>0.05</v>
      </c>
      <c r="AF20" s="85">
        <f>VLOOKUP($AD20,'3-2.所得算出参照表'!$P$4:$Q$11,2,TRUE)</f>
        <v>0</v>
      </c>
      <c r="AG20" s="85">
        <f t="shared" si="22"/>
        <v>6950</v>
      </c>
      <c r="AH20" s="85">
        <f>$AG20*'3-2.所得算出参照表'!$D$14</f>
        <v>145.95000000000002</v>
      </c>
      <c r="AI20" s="99">
        <f t="shared" si="23"/>
        <v>7000</v>
      </c>
      <c r="AJ20" s="107">
        <f>IF($AA20="",0,IF($AA20='3-2.所得算出参照表'!$B$5,'3-2.所得算出参照表'!$E$5,IF('5-1.併用メニュー（２年目）'!$AA20='3-2.所得算出参照表'!$B$6,'5-1.併用メニュー（２年目）'!$K20*'3-2.所得算出参照表'!$E$6+'3-2.所得算出参照表'!$G$6,IF('5-1.併用メニュー（２年目）'!$AA20='3-2.所得算出参照表'!$B$7,'5-1.併用メニュー（２年目）'!$K20*'3-2.所得算出参照表'!$E$7+'3-2.所得算出参照表'!$G$7,IF('5-1.併用メニュー（２年目）'!$AA20='3-2.所得算出参照表'!$B$8,'5-1.併用メニュー（２年目）'!$K20*'3-2.所得算出参照表'!$E$8+'3-2.所得算出参照表'!$G$8,IF('5-1.併用メニュー（２年目）'!$AA20='3-2.所得算出参照表'!$B$9,'5-1.併用メニュー（２年目）'!$K20*'3-2.所得算出参照表'!$E$9+'3-2.所得算出参照表'!$G$9,IF($AA20='3-2.所得算出参照表'!$B$10,'3-2.所得算出参照表'!$G$10)))))))</f>
        <v>550000</v>
      </c>
      <c r="AK20" s="47">
        <f t="shared" si="9"/>
        <v>430000</v>
      </c>
      <c r="AL20" s="95">
        <f t="shared" si="10"/>
        <v>189000</v>
      </c>
      <c r="AM20" s="95">
        <f t="shared" si="11"/>
        <v>5500</v>
      </c>
      <c r="AN20" s="96">
        <f t="shared" si="12"/>
        <v>0.1</v>
      </c>
      <c r="AO20" s="103">
        <f t="shared" si="24"/>
        <v>21900</v>
      </c>
      <c r="AP20" s="120">
        <f t="shared" si="13"/>
        <v>1140118.8000000003</v>
      </c>
    </row>
    <row r="21" spans="2:42" ht="21.95" customHeight="1" x14ac:dyDescent="0.15">
      <c r="B21" s="76">
        <v>7</v>
      </c>
      <c r="C21" s="472">
        <f t="shared" si="14"/>
        <v>1040</v>
      </c>
      <c r="D21" s="475">
        <f t="shared" si="15"/>
        <v>0</v>
      </c>
      <c r="E21" s="474">
        <f t="shared" si="16"/>
        <v>1040</v>
      </c>
      <c r="F21" s="431">
        <f t="shared" si="25"/>
        <v>6</v>
      </c>
      <c r="G21" s="60">
        <f t="shared" si="26"/>
        <v>26</v>
      </c>
      <c r="H21" s="174">
        <f t="shared" si="0"/>
        <v>1355.7142857142858</v>
      </c>
      <c r="I21" s="72">
        <f t="shared" si="1"/>
        <v>117495.23809523811</v>
      </c>
      <c r="J21" s="66">
        <f t="shared" si="17"/>
        <v>119495.23809523811</v>
      </c>
      <c r="K21" s="73">
        <f t="shared" si="2"/>
        <v>1433942.8571428573</v>
      </c>
      <c r="L21" s="68">
        <f t="shared" si="18"/>
        <v>121495.23809523811</v>
      </c>
      <c r="M21" s="69">
        <f>IF($D$4="",0,IF($L21=0,0,VLOOKUP($L21,'3-1.標準報酬月額・保険料表'!$N$8:$O$57,2,TRUE)))</f>
        <v>118000</v>
      </c>
      <c r="N21" s="163">
        <f t="shared" si="3"/>
        <v>0</v>
      </c>
      <c r="O21" s="69">
        <f t="shared" si="4"/>
        <v>0</v>
      </c>
      <c r="P21" s="163">
        <f t="shared" si="5"/>
        <v>117495.23809523811</v>
      </c>
      <c r="Q21" s="36">
        <f>IF($D$4="",0,IF($G21&lt;20,0,IF($Q$13="",0,IF($Q$13=2,0,IF($P21&lt;$R$13,0,IF($M21&lt;=620000,VLOOKUP($M21,'3-1.標準報酬月額・保険料表'!$D$8:$L$42,9,FALSE),'3-1.標準報酬月額・保険料表'!$L$42)+ROUNDDOWN($O21*$W$7,0))))))</f>
        <v>10797</v>
      </c>
      <c r="R21" s="25">
        <f>IF($D$4="",0,IF($G21&lt;20,0,IF($O$9="",0,IF($Q$13=2,0,IF($D$10&gt;=$S$13,0,IF($P21&lt;$R$13,0,VLOOKUP($M21,'3-1.標準報酬月額・保険料表'!$D$8:$J$57,6,FALSE)+ROUNDDOWN($O21*$T$7,0)))))))</f>
        <v>6071.1</v>
      </c>
      <c r="S21" s="25">
        <f>IF($D$4="",0,IF($G21&lt;20,0,IF($Q$13="",0,IF($Q$13=2,0,IF($D$10&lt;$S$13,0,IF($P21&lt;$R$13,0,VLOOKUP($M21,'3-1.標準報酬月額・保険料表'!$D$8:$J$57,7,FALSE)+ROUNDDOWN($O21*$U$7,0)))))))</f>
        <v>0</v>
      </c>
      <c r="T21" s="41">
        <f t="shared" si="19"/>
        <v>16868.099999999999</v>
      </c>
      <c r="U21" s="46">
        <f>IF($D$4="",0,IF($U$13="",0,IF($U$13=1,0,IF($G21&lt;$W$13,0,IF($K21&lt;$V$13,0,IF($M21&lt;=620000,VLOOKUP($M21,'3-1.標準報酬月額・保険料表'!$D$8:$L$42,9,FALSE),'3-1.標準報酬月額・保険料表'!$L$42)+ROUNDDOWN($O21*$W$7,0))))))</f>
        <v>0</v>
      </c>
      <c r="V21" s="47">
        <f>IF($D$4="",0,IF($U$13="",0,IF($U$13=1,0,IF($G21&lt;$W$13,0,IF($K21&lt;$V$13,0,IF($D$10&gt;=$X$13,0,VLOOKUP($M21,'3-1.標準報酬月額・保険料表'!$D$8:$J$57,6,FALSE)+ROUNDDOWN($O21*$T$7,0)))))))</f>
        <v>0</v>
      </c>
      <c r="W21" s="47">
        <f>IF($D$4="",0,IF($U$13="",0,IF($U$13=1,0,IF($G21&lt;$W$13,0,IF($K21&lt;$V$13,0,IF($D$10&lt;$X$13,0,VLOOKUP($M21,'3-1.標準報酬月額・保険料表'!$D$8:$J$57,7,FALSE)+ROUNDDOWN($O21*$U$7,0)))))))</f>
        <v>0</v>
      </c>
      <c r="X21" s="48">
        <f t="shared" si="20"/>
        <v>0</v>
      </c>
      <c r="Y21" s="38">
        <f t="shared" si="6"/>
        <v>8603.6571428571442</v>
      </c>
      <c r="Z21" s="43">
        <f t="shared" si="21"/>
        <v>211020.85714285713</v>
      </c>
      <c r="AA21" s="127">
        <f>IF($D$4="","",VLOOKUP($K21,'3-2.所得算出参照表'!K$5:L$10,2,TRUE))</f>
        <v>1625000</v>
      </c>
      <c r="AB21" s="128">
        <f>IF($AA21="",0,IF($AA21='3-2.所得算出参照表'!$B$5,'3-2.所得算出参照表'!$E$5,IF('5-1.併用メニュー（２年目）'!$AA21='3-2.所得算出参照表'!$B$6,'5-1.併用メニュー（２年目）'!$K21*'3-2.所得算出参照表'!$E$6+'3-2.所得算出参照表'!$G$6,IF('5-1.併用メニュー（２年目）'!$AA21='3-2.所得算出参照表'!$B$7,'5-1.併用メニュー（２年目）'!$K21*'3-2.所得算出参照表'!$E$7+'3-2.所得算出参照表'!$G$7,IF('5-1.併用メニュー（２年目）'!$AA21='3-2.所得算出参照表'!$B$8,'5-1.併用メニュー（２年目）'!$K21*'3-2.所得算出参照表'!$E$8+'3-2.所得算出参照表'!$G$8,IF('5-1.併用メニュー（２年目）'!$AA21='3-2.所得算出参照表'!$B$9,'5-1.併用メニュー（２年目）'!$K21*'3-2.所得算出参照表'!$E$9+'3-2.所得算出参照表'!$G$9,IF($AA21='3-2.所得算出参照表'!$B$10,'3-2.所得算出参照表'!$G$10)))))))</f>
        <v>550000</v>
      </c>
      <c r="AC21" s="90">
        <f t="shared" si="7"/>
        <v>480000</v>
      </c>
      <c r="AD21" s="85">
        <f t="shared" si="8"/>
        <v>192000</v>
      </c>
      <c r="AE21" s="130">
        <f>VLOOKUP($AD21,'3-2.所得算出参照表'!$N$4:$O$11,2,TRUE)</f>
        <v>0.05</v>
      </c>
      <c r="AF21" s="85">
        <f>VLOOKUP($AD21,'3-2.所得算出参照表'!$P$4:$Q$11,2,TRUE)</f>
        <v>0</v>
      </c>
      <c r="AG21" s="85">
        <f t="shared" si="22"/>
        <v>9600</v>
      </c>
      <c r="AH21" s="85">
        <f>$AG21*'3-2.所得算出参照表'!$D$14</f>
        <v>201.60000000000002</v>
      </c>
      <c r="AI21" s="99">
        <f t="shared" si="23"/>
        <v>9800</v>
      </c>
      <c r="AJ21" s="107">
        <f>IF($AA21="",0,IF($AA21='3-2.所得算出参照表'!$B$5,'3-2.所得算出参照表'!$E$5,IF('5-1.併用メニュー（２年目）'!$AA21='3-2.所得算出参照表'!$B$6,'5-1.併用メニュー（２年目）'!$K21*'3-2.所得算出参照表'!$E$6+'3-2.所得算出参照表'!$G$6,IF('5-1.併用メニュー（２年目）'!$AA21='3-2.所得算出参照表'!$B$7,'5-1.併用メニュー（２年目）'!$K21*'3-2.所得算出参照表'!$E$7+'3-2.所得算出参照表'!$G$7,IF('5-1.併用メニュー（２年目）'!$AA21='3-2.所得算出参照表'!$B$8,'5-1.併用メニュー（２年目）'!$K21*'3-2.所得算出参照表'!$E$8+'3-2.所得算出参照表'!$G$8,IF('5-1.併用メニュー（２年目）'!$AA21='3-2.所得算出参照表'!$B$9,'5-1.併用メニュー（２年目）'!$K21*'3-2.所得算出参照表'!$E$9+'3-2.所得算出参照表'!$G$9,IF($AA21='3-2.所得算出参照表'!$B$10,'3-2.所得算出参照表'!$G$10)))))))</f>
        <v>550000</v>
      </c>
      <c r="AK21" s="47">
        <f t="shared" si="9"/>
        <v>430000</v>
      </c>
      <c r="AL21" s="95">
        <f t="shared" si="10"/>
        <v>242000</v>
      </c>
      <c r="AM21" s="95">
        <f t="shared" si="11"/>
        <v>5500</v>
      </c>
      <c r="AN21" s="96">
        <f t="shared" si="12"/>
        <v>0.1</v>
      </c>
      <c r="AO21" s="103">
        <f t="shared" si="24"/>
        <v>27200</v>
      </c>
      <c r="AP21" s="120">
        <f t="shared" si="13"/>
        <v>1185922.0000000002</v>
      </c>
    </row>
    <row r="22" spans="2:42" ht="21.95" customHeight="1" x14ac:dyDescent="0.15">
      <c r="B22" s="75">
        <v>8</v>
      </c>
      <c r="C22" s="472">
        <f t="shared" si="14"/>
        <v>1040</v>
      </c>
      <c r="D22" s="475">
        <f t="shared" si="15"/>
        <v>0</v>
      </c>
      <c r="E22" s="474">
        <f t="shared" si="16"/>
        <v>1040</v>
      </c>
      <c r="F22" s="431">
        <f t="shared" si="25"/>
        <v>7</v>
      </c>
      <c r="G22" s="60">
        <f t="shared" si="26"/>
        <v>27</v>
      </c>
      <c r="H22" s="174">
        <f t="shared" si="0"/>
        <v>1407.8571428571429</v>
      </c>
      <c r="I22" s="72">
        <f t="shared" si="1"/>
        <v>122014.28571428572</v>
      </c>
      <c r="J22" s="66">
        <f t="shared" si="17"/>
        <v>124014.28571428572</v>
      </c>
      <c r="K22" s="73">
        <f t="shared" si="2"/>
        <v>1488171.4285714286</v>
      </c>
      <c r="L22" s="68">
        <f t="shared" si="18"/>
        <v>126014.28571428572</v>
      </c>
      <c r="M22" s="69">
        <f>IF($D$4="",0,IF($L22=0,0,VLOOKUP($L22,'3-1.標準報酬月額・保険料表'!$N$8:$O$57,2,TRUE)))</f>
        <v>126000</v>
      </c>
      <c r="N22" s="163">
        <f t="shared" si="3"/>
        <v>0</v>
      </c>
      <c r="O22" s="69">
        <f t="shared" si="4"/>
        <v>0</v>
      </c>
      <c r="P22" s="163">
        <f t="shared" si="5"/>
        <v>122014.28571428572</v>
      </c>
      <c r="Q22" s="36">
        <f>IF($D$4="",0,IF($G22&lt;20,0,IF($Q$13="",0,IF($Q$13=2,0,IF($P22&lt;$R$13,0,IF($M22&lt;=620000,VLOOKUP($M22,'3-1.標準報酬月額・保険料表'!$D$8:$L$42,9,FALSE),'3-1.標準報酬月額・保険料表'!$L$42)+ROUNDDOWN($O22*$W$7,0))))))</f>
        <v>11529</v>
      </c>
      <c r="R22" s="25">
        <f>IF($D$4="",0,IF($G22&lt;20,0,IF($O$9="",0,IF($Q$13=2,0,IF($D$10&gt;=$S$13,0,IF($P22&lt;$R$13,0,VLOOKUP($M22,'3-1.標準報酬月額・保険料表'!$D$8:$J$57,6,FALSE)+ROUNDDOWN($O22*$T$7,0)))))))</f>
        <v>6482.7000000000007</v>
      </c>
      <c r="S22" s="25">
        <f>IF($D$4="",0,IF($G22&lt;20,0,IF($Q$13="",0,IF($Q$13=2,0,IF($D$10&lt;$S$13,0,IF($P22&lt;$R$13,0,VLOOKUP($M22,'3-1.標準報酬月額・保険料表'!$D$8:$J$57,7,FALSE)+ROUNDDOWN($O22*$U$7,0)))))))</f>
        <v>0</v>
      </c>
      <c r="T22" s="41">
        <f t="shared" si="19"/>
        <v>18011.7</v>
      </c>
      <c r="U22" s="46">
        <f>IF($D$4="",0,IF($U$13="",0,IF($U$13=1,0,IF($G22&lt;$W$13,0,IF($K22&lt;$V$13,0,IF($M22&lt;=620000,VLOOKUP($M22,'3-1.標準報酬月額・保険料表'!$D$8:$L$42,9,FALSE),'3-1.標準報酬月額・保険料表'!$L$42)+ROUNDDOWN($O22*$W$7,0))))))</f>
        <v>0</v>
      </c>
      <c r="V22" s="47">
        <f>IF($D$4="",0,IF($U$13="",0,IF($U$13=1,0,IF($G22&lt;$W$13,0,IF($K22&lt;$V$13,0,IF($D$10&gt;=$X$13,0,VLOOKUP($M22,'3-1.標準報酬月額・保険料表'!$D$8:$J$57,6,FALSE)+ROUNDDOWN($O22*$T$7,0)))))))</f>
        <v>0</v>
      </c>
      <c r="W22" s="47">
        <f>IF($D$4="",0,IF($U$13="",0,IF($U$13=1,0,IF($G22&lt;$W$13,0,IF($K22&lt;$V$13,0,IF($D$10&lt;$X$13,0,VLOOKUP($M22,'3-1.標準報酬月額・保険料表'!$D$8:$J$57,7,FALSE)+ROUNDDOWN($O22*$U$7,0)))))))</f>
        <v>0</v>
      </c>
      <c r="X22" s="48">
        <f t="shared" si="20"/>
        <v>0</v>
      </c>
      <c r="Y22" s="38">
        <f t="shared" si="6"/>
        <v>8929.0285714285728</v>
      </c>
      <c r="Z22" s="43">
        <f t="shared" si="21"/>
        <v>225069.42857142861</v>
      </c>
      <c r="AA22" s="127">
        <f>IF($D$4="","",VLOOKUP($K22,'3-2.所得算出参照表'!K$5:L$10,2,TRUE))</f>
        <v>1625000</v>
      </c>
      <c r="AB22" s="128">
        <f>IF($AA22="",0,IF($AA22='3-2.所得算出参照表'!$B$5,'3-2.所得算出参照表'!$E$5,IF('5-1.併用メニュー（２年目）'!$AA22='3-2.所得算出参照表'!$B$6,'5-1.併用メニュー（２年目）'!$K22*'3-2.所得算出参照表'!$E$6+'3-2.所得算出参照表'!$G$6,IF('5-1.併用メニュー（２年目）'!$AA22='3-2.所得算出参照表'!$B$7,'5-1.併用メニュー（２年目）'!$K22*'3-2.所得算出参照表'!$E$7+'3-2.所得算出参照表'!$G$7,IF('5-1.併用メニュー（２年目）'!$AA22='3-2.所得算出参照表'!$B$8,'5-1.併用メニュー（２年目）'!$K22*'3-2.所得算出参照表'!$E$8+'3-2.所得算出参照表'!$G$8,IF('5-1.併用メニュー（２年目）'!$AA22='3-2.所得算出参照表'!$B$9,'5-1.併用メニュー（２年目）'!$K22*'3-2.所得算出参照表'!$E$9+'3-2.所得算出参照表'!$G$9,IF($AA22='3-2.所得算出参照表'!$B$10,'3-2.所得算出参照表'!$G$10)))))))</f>
        <v>550000</v>
      </c>
      <c r="AC22" s="90">
        <f t="shared" si="7"/>
        <v>480000</v>
      </c>
      <c r="AD22" s="85">
        <f t="shared" si="8"/>
        <v>233000</v>
      </c>
      <c r="AE22" s="130">
        <f>VLOOKUP($AD22,'3-2.所得算出参照表'!$N$4:$O$11,2,TRUE)</f>
        <v>0.05</v>
      </c>
      <c r="AF22" s="85">
        <f>VLOOKUP($AD22,'3-2.所得算出参照表'!$P$4:$Q$11,2,TRUE)</f>
        <v>0</v>
      </c>
      <c r="AG22" s="85">
        <f>$AD22*AE22-$AF22</f>
        <v>11650</v>
      </c>
      <c r="AH22" s="85">
        <f>$AG22*'3-2.所得算出参照表'!$D$14</f>
        <v>244.65</v>
      </c>
      <c r="AI22" s="99">
        <f>ROUNDDOWN($AG22+$AH22,-2)</f>
        <v>11800</v>
      </c>
      <c r="AJ22" s="107">
        <f>IF($AA22="",0,IF($AA22='3-2.所得算出参照表'!$B$5,'3-2.所得算出参照表'!$E$5,IF('5-1.併用メニュー（２年目）'!$AA22='3-2.所得算出参照表'!$B$6,'5-1.併用メニュー（２年目）'!$K22*'3-2.所得算出参照表'!$E$6+'3-2.所得算出参照表'!$G$6,IF('5-1.併用メニュー（２年目）'!$AA22='3-2.所得算出参照表'!$B$7,'5-1.併用メニュー（２年目）'!$K22*'3-2.所得算出参照表'!$E$7+'3-2.所得算出参照表'!$G$7,IF('5-1.併用メニュー（２年目）'!$AA22='3-2.所得算出参照表'!$B$8,'5-1.併用メニュー（２年目）'!$K22*'3-2.所得算出参照表'!$E$8+'3-2.所得算出参照表'!$G$8,IF('5-1.併用メニュー（２年目）'!$AA22='3-2.所得算出参照表'!$B$9,'5-1.併用メニュー（２年目）'!$K22*'3-2.所得算出参照表'!$E$9+'3-2.所得算出参照表'!$G$9,IF($AA22='3-2.所得算出参照表'!$B$10,'3-2.所得算出参照表'!$G$10)))))))</f>
        <v>550000</v>
      </c>
      <c r="AK22" s="47">
        <f t="shared" si="9"/>
        <v>430000</v>
      </c>
      <c r="AL22" s="95">
        <f t="shared" si="10"/>
        <v>283000</v>
      </c>
      <c r="AM22" s="95">
        <f t="shared" si="11"/>
        <v>5500</v>
      </c>
      <c r="AN22" s="96">
        <f t="shared" si="12"/>
        <v>0.1</v>
      </c>
      <c r="AO22" s="103">
        <f t="shared" si="24"/>
        <v>31300</v>
      </c>
      <c r="AP22" s="120">
        <f t="shared" si="13"/>
        <v>1220002</v>
      </c>
    </row>
    <row r="23" spans="2:42" ht="21.95" customHeight="1" x14ac:dyDescent="0.15">
      <c r="B23" s="76">
        <v>9</v>
      </c>
      <c r="C23" s="472">
        <f t="shared" si="14"/>
        <v>1040</v>
      </c>
      <c r="D23" s="475">
        <f t="shared" si="15"/>
        <v>0</v>
      </c>
      <c r="E23" s="474">
        <f t="shared" si="16"/>
        <v>1040</v>
      </c>
      <c r="F23" s="431">
        <f t="shared" si="25"/>
        <v>8</v>
      </c>
      <c r="G23" s="60">
        <f t="shared" si="26"/>
        <v>28</v>
      </c>
      <c r="H23" s="174">
        <f t="shared" si="0"/>
        <v>1460</v>
      </c>
      <c r="I23" s="72">
        <f t="shared" si="1"/>
        <v>126533.33333333333</v>
      </c>
      <c r="J23" s="66">
        <f t="shared" si="17"/>
        <v>128533.33333333333</v>
      </c>
      <c r="K23" s="73">
        <f t="shared" si="2"/>
        <v>1542400</v>
      </c>
      <c r="L23" s="68">
        <f t="shared" si="18"/>
        <v>130533.33333333333</v>
      </c>
      <c r="M23" s="69">
        <f>IF($D$4="",0,IF($L23=0,0,VLOOKUP($L23,'3-1.標準報酬月額・保険料表'!$N$8:$O$57,2,TRUE)))</f>
        <v>134000</v>
      </c>
      <c r="N23" s="163">
        <f t="shared" si="3"/>
        <v>0</v>
      </c>
      <c r="O23" s="69">
        <f t="shared" si="4"/>
        <v>0</v>
      </c>
      <c r="P23" s="163">
        <f t="shared" si="5"/>
        <v>126533.33333333333</v>
      </c>
      <c r="Q23" s="36">
        <f>IF($D$4="",0,IF($G23&lt;20,0,IF($Q$13="",0,IF($Q$13=2,0,IF($P23&lt;$R$13,0,IF($M23&lt;=620000,VLOOKUP($M23,'3-1.標準報酬月額・保険料表'!$D$8:$L$42,9,FALSE),'3-1.標準報酬月額・保険料表'!$L$42)+ROUNDDOWN($O23*$W$7,0))))))</f>
        <v>12261</v>
      </c>
      <c r="R23" s="25">
        <f>IF($D$4="",0,IF($G23&lt;20,0,IF($O$9="",0,IF($Q$13=2,0,IF($D$10&gt;=$S$13,0,IF($P23&lt;$R$13,0,VLOOKUP($M23,'3-1.標準報酬月額・保険料表'!$D$8:$J$57,6,FALSE)+ROUNDDOWN($O23*$T$7,0)))))))</f>
        <v>6894.3</v>
      </c>
      <c r="S23" s="25">
        <f>IF($D$4="",0,IF($G23&lt;20,0,IF($Q$13="",0,IF($Q$13=2,0,IF($D$10&lt;$S$13,0,IF($P23&lt;$R$13,0,VLOOKUP($M23,'3-1.標準報酬月額・保険料表'!$D$8:$J$57,7,FALSE)+ROUNDDOWN($O23*$U$7,0)))))))</f>
        <v>0</v>
      </c>
      <c r="T23" s="41">
        <f t="shared" si="19"/>
        <v>19155.3</v>
      </c>
      <c r="U23" s="46">
        <f>IF($D$4="",0,IF($U$13="",0,IF($U$13=1,0,IF($G23&lt;$W$13,0,IF($K23&lt;$V$13,0,IF($M23&lt;=620000,VLOOKUP($M23,'3-1.標準報酬月額・保険料表'!$D$8:$L$42,9,FALSE),'3-1.標準報酬月額・保険料表'!$L$42)+ROUNDDOWN($O23*$W$7,0))))))</f>
        <v>0</v>
      </c>
      <c r="V23" s="47">
        <f>IF($D$4="",0,IF($U$13="",0,IF($U$13=1,0,IF($G23&lt;$W$13,0,IF($K23&lt;$V$13,0,IF($D$10&gt;=$X$13,0,VLOOKUP($M23,'3-1.標準報酬月額・保険料表'!$D$8:$J$57,6,FALSE)+ROUNDDOWN($O23*$T$7,0)))))))</f>
        <v>0</v>
      </c>
      <c r="W23" s="47">
        <f>IF($D$4="",0,IF($U$13="",0,IF($U$13=1,0,IF($G23&lt;$W$13,0,IF($K23&lt;$V$13,0,IF($D$10&lt;$X$13,0,VLOOKUP($M23,'3-1.標準報酬月額・保険料表'!$D$8:$J$57,7,FALSE)+ROUNDDOWN($O23*$U$7,0)))))))</f>
        <v>0</v>
      </c>
      <c r="X23" s="48">
        <f t="shared" si="20"/>
        <v>0</v>
      </c>
      <c r="Y23" s="38">
        <f t="shared" si="6"/>
        <v>9254.4</v>
      </c>
      <c r="Z23" s="43">
        <f t="shared" si="21"/>
        <v>239117.99999999997</v>
      </c>
      <c r="AA23" s="127">
        <f>IF($D$4="","",VLOOKUP($K23,'3-2.所得算出参照表'!K$5:L$10,2,TRUE))</f>
        <v>1625000</v>
      </c>
      <c r="AB23" s="128">
        <f>IF($AA23="",0,IF($AA23='3-2.所得算出参照表'!$B$5,'3-2.所得算出参照表'!$E$5,IF('5-1.併用メニュー（２年目）'!$AA23='3-2.所得算出参照表'!$B$6,'5-1.併用メニュー（２年目）'!$K23*'3-2.所得算出参照表'!$E$6+'3-2.所得算出参照表'!$G$6,IF('5-1.併用メニュー（２年目）'!$AA23='3-2.所得算出参照表'!$B$7,'5-1.併用メニュー（２年目）'!$K23*'3-2.所得算出参照表'!$E$7+'3-2.所得算出参照表'!$G$7,IF('5-1.併用メニュー（２年目）'!$AA23='3-2.所得算出参照表'!$B$8,'5-1.併用メニュー（２年目）'!$K23*'3-2.所得算出参照表'!$E$8+'3-2.所得算出参照表'!$G$8,IF('5-1.併用メニュー（２年目）'!$AA23='3-2.所得算出参照表'!$B$9,'5-1.併用メニュー（２年目）'!$K23*'3-2.所得算出参照表'!$E$9+'3-2.所得算出参照表'!$G$9,IF($AA23='3-2.所得算出参照表'!$B$10,'3-2.所得算出参照表'!$G$10)))))))</f>
        <v>550000</v>
      </c>
      <c r="AC23" s="90">
        <f t="shared" si="7"/>
        <v>480000</v>
      </c>
      <c r="AD23" s="85">
        <f t="shared" si="8"/>
        <v>273000</v>
      </c>
      <c r="AE23" s="130">
        <f>VLOOKUP($AD23,'3-2.所得算出参照表'!$N$4:$O$11,2,TRUE)</f>
        <v>0.05</v>
      </c>
      <c r="AF23" s="85">
        <f>VLOOKUP($AD23,'3-2.所得算出参照表'!$P$4:$Q$11,2,TRUE)</f>
        <v>0</v>
      </c>
      <c r="AG23" s="85">
        <f t="shared" ref="AG23:AG44" si="27">$AD23*AE23-$AF23</f>
        <v>13650</v>
      </c>
      <c r="AH23" s="85">
        <f>$AG23*'3-2.所得算出参照表'!$D$14</f>
        <v>286.65000000000003</v>
      </c>
      <c r="AI23" s="99">
        <f t="shared" ref="AI23:AI44" si="28">ROUNDDOWN($AG23+$AH23,-2)</f>
        <v>13900</v>
      </c>
      <c r="AJ23" s="107">
        <f>IF($AA23="",0,IF($AA23='3-2.所得算出参照表'!$B$5,'3-2.所得算出参照表'!$E$5,IF('5-1.併用メニュー（２年目）'!$AA23='3-2.所得算出参照表'!$B$6,'5-1.併用メニュー（２年目）'!$K23*'3-2.所得算出参照表'!$E$6+'3-2.所得算出参照表'!$G$6,IF('5-1.併用メニュー（２年目）'!$AA23='3-2.所得算出参照表'!$B$7,'5-1.併用メニュー（２年目）'!$K23*'3-2.所得算出参照表'!$E$7+'3-2.所得算出参照表'!$G$7,IF('5-1.併用メニュー（２年目）'!$AA23='3-2.所得算出参照表'!$B$8,'5-1.併用メニュー（２年目）'!$K23*'3-2.所得算出参照表'!$E$8+'3-2.所得算出参照表'!$G$8,IF('5-1.併用メニュー（２年目）'!$AA23='3-2.所得算出参照表'!$B$9,'5-1.併用メニュー（２年目）'!$K23*'3-2.所得算出参照表'!$E$9+'3-2.所得算出参照表'!$G$9,IF($AA23='3-2.所得算出参照表'!$B$10,'3-2.所得算出参照表'!$G$10)))))))</f>
        <v>550000</v>
      </c>
      <c r="AK23" s="47">
        <f t="shared" si="9"/>
        <v>430000</v>
      </c>
      <c r="AL23" s="95">
        <f t="shared" si="10"/>
        <v>323000</v>
      </c>
      <c r="AM23" s="95">
        <f t="shared" si="11"/>
        <v>5500</v>
      </c>
      <c r="AN23" s="96">
        <f t="shared" si="12"/>
        <v>0.1</v>
      </c>
      <c r="AO23" s="103">
        <f t="shared" si="24"/>
        <v>35300</v>
      </c>
      <c r="AP23" s="120">
        <f t="shared" si="13"/>
        <v>1254082</v>
      </c>
    </row>
    <row r="24" spans="2:42" ht="21.95" customHeight="1" x14ac:dyDescent="0.15">
      <c r="B24" s="76">
        <v>10</v>
      </c>
      <c r="C24" s="472">
        <f t="shared" si="14"/>
        <v>1040</v>
      </c>
      <c r="D24" s="475">
        <f t="shared" si="15"/>
        <v>0</v>
      </c>
      <c r="E24" s="474">
        <f t="shared" si="16"/>
        <v>1040</v>
      </c>
      <c r="F24" s="431">
        <f t="shared" si="25"/>
        <v>9</v>
      </c>
      <c r="G24" s="60">
        <f t="shared" si="26"/>
        <v>29</v>
      </c>
      <c r="H24" s="174">
        <f t="shared" si="0"/>
        <v>1512.1428571428571</v>
      </c>
      <c r="I24" s="72">
        <f t="shared" si="1"/>
        <v>131052.38095238095</v>
      </c>
      <c r="J24" s="66">
        <f t="shared" si="17"/>
        <v>133052.38095238095</v>
      </c>
      <c r="K24" s="73">
        <f t="shared" si="2"/>
        <v>1596628.5714285714</v>
      </c>
      <c r="L24" s="68">
        <f t="shared" si="18"/>
        <v>135052.38095238095</v>
      </c>
      <c r="M24" s="69">
        <f>IF($D$4="",0,IF($L24=0,0,VLOOKUP($L24,'3-1.標準報酬月額・保険料表'!$N$8:$O$57,2,TRUE)))</f>
        <v>134000</v>
      </c>
      <c r="N24" s="163">
        <f t="shared" si="3"/>
        <v>0</v>
      </c>
      <c r="O24" s="69">
        <f t="shared" si="4"/>
        <v>0</v>
      </c>
      <c r="P24" s="163">
        <f t="shared" si="5"/>
        <v>131052.38095238095</v>
      </c>
      <c r="Q24" s="36">
        <f>IF($D$4="",0,IF($G24&lt;20,0,IF($Q$13="",0,IF($Q$13=2,0,IF($P24&lt;$R$13,0,IF($M24&lt;=620000,VLOOKUP($M24,'3-1.標準報酬月額・保険料表'!$D$8:$L$42,9,FALSE),'3-1.標準報酬月額・保険料表'!$L$42)+ROUNDDOWN($O24*$W$7,0))))))</f>
        <v>12261</v>
      </c>
      <c r="R24" s="25">
        <f>IF($D$4="",0,IF($G24&lt;20,0,IF($O$9="",0,IF($Q$13=2,0,IF($D$10&gt;=$S$13,0,IF($P24&lt;$R$13,0,VLOOKUP($M24,'3-1.標準報酬月額・保険料表'!$D$8:$J$57,6,FALSE)+ROUNDDOWN($O24*$T$7,0)))))))</f>
        <v>6894.3</v>
      </c>
      <c r="S24" s="25">
        <f>IF($D$4="",0,IF($G24&lt;20,0,IF($Q$13="",0,IF($Q$13=2,0,IF($D$10&lt;$S$13,0,IF($P24&lt;$R$13,0,VLOOKUP($M24,'3-1.標準報酬月額・保険料表'!$D$8:$J$57,7,FALSE)+ROUNDDOWN($O24*$U$7,0)))))))</f>
        <v>0</v>
      </c>
      <c r="T24" s="41">
        <f t="shared" si="19"/>
        <v>19155.3</v>
      </c>
      <c r="U24" s="46">
        <f>IF($D$4="",0,IF($U$13="",0,IF($U$13=1,0,IF($G24&lt;$W$13,0,IF($K24&lt;$V$13,0,IF($M24&lt;=620000,VLOOKUP($M24,'3-1.標準報酬月額・保険料表'!$D$8:$L$42,9,FALSE),'3-1.標準報酬月額・保険料表'!$L$42)+ROUNDDOWN($O24*$W$7,0))))))</f>
        <v>0</v>
      </c>
      <c r="V24" s="47">
        <f>IF($D$4="",0,IF($U$13="",0,IF($U$13=1,0,IF($G24&lt;$W$13,0,IF($K24&lt;$V$13,0,IF($D$10&gt;=$X$13,0,VLOOKUP($M24,'3-1.標準報酬月額・保険料表'!$D$8:$J$57,6,FALSE)+ROUNDDOWN($O24*$T$7,0)))))))</f>
        <v>0</v>
      </c>
      <c r="W24" s="47">
        <f>IF($D$4="",0,IF($U$13="",0,IF($U$13=1,0,IF($G24&lt;$W$13,0,IF($K24&lt;$V$13,0,IF($D$10&lt;$X$13,0,VLOOKUP($M24,'3-1.標準報酬月額・保険料表'!$D$8:$J$57,7,FALSE)+ROUNDDOWN($O24*$U$7,0)))))))</f>
        <v>0</v>
      </c>
      <c r="X24" s="48">
        <f t="shared" si="20"/>
        <v>0</v>
      </c>
      <c r="Y24" s="38">
        <f t="shared" si="6"/>
        <v>9579.7714285714283</v>
      </c>
      <c r="Z24" s="43">
        <f t="shared" si="21"/>
        <v>239443.37142857141</v>
      </c>
      <c r="AA24" s="127">
        <f>IF($D$4="","",VLOOKUP($K24,'3-2.所得算出参照表'!K$5:L$10,2,TRUE))</f>
        <v>1625000</v>
      </c>
      <c r="AB24" s="128">
        <f>IF($AA24="",0,IF($AA24='3-2.所得算出参照表'!$B$5,'3-2.所得算出参照表'!$E$5,IF('5-1.併用メニュー（２年目）'!$AA24='3-2.所得算出参照表'!$B$6,'5-1.併用メニュー（２年目）'!$K24*'3-2.所得算出参照表'!$E$6+'3-2.所得算出参照表'!$G$6,IF('5-1.併用メニュー（２年目）'!$AA24='3-2.所得算出参照表'!$B$7,'5-1.併用メニュー（２年目）'!$K24*'3-2.所得算出参照表'!$E$7+'3-2.所得算出参照表'!$G$7,IF('5-1.併用メニュー（２年目）'!$AA24='3-2.所得算出参照表'!$B$8,'5-1.併用メニュー（２年目）'!$K24*'3-2.所得算出参照表'!$E$8+'3-2.所得算出参照表'!$G$8,IF('5-1.併用メニュー（２年目）'!$AA24='3-2.所得算出参照表'!$B$9,'5-1.併用メニュー（２年目）'!$K24*'3-2.所得算出参照表'!$E$9+'3-2.所得算出参照表'!$G$9,IF($AA24='3-2.所得算出参照表'!$B$10,'3-2.所得算出参照表'!$G$10)))))))</f>
        <v>550000</v>
      </c>
      <c r="AC24" s="90">
        <f t="shared" si="7"/>
        <v>480000</v>
      </c>
      <c r="AD24" s="85">
        <f t="shared" si="8"/>
        <v>327000</v>
      </c>
      <c r="AE24" s="130">
        <f>VLOOKUP($AD24,'3-2.所得算出参照表'!$N$4:$O$11,2,TRUE)</f>
        <v>0.05</v>
      </c>
      <c r="AF24" s="85">
        <f>VLOOKUP($AD24,'3-2.所得算出参照表'!$P$4:$Q$11,2,TRUE)</f>
        <v>0</v>
      </c>
      <c r="AG24" s="85">
        <f t="shared" si="27"/>
        <v>16350</v>
      </c>
      <c r="AH24" s="85">
        <f>$AG24*'3-2.所得算出参照表'!$D$14</f>
        <v>343.35</v>
      </c>
      <c r="AI24" s="99">
        <f t="shared" si="28"/>
        <v>16600</v>
      </c>
      <c r="AJ24" s="107">
        <f>IF($AA24="",0,IF($AA24='3-2.所得算出参照表'!$B$5,'3-2.所得算出参照表'!$E$5,IF('5-1.併用メニュー（２年目）'!$AA24='3-2.所得算出参照表'!$B$6,'5-1.併用メニュー（２年目）'!$K24*'3-2.所得算出参照表'!$E$6+'3-2.所得算出参照表'!$G$6,IF('5-1.併用メニュー（２年目）'!$AA24='3-2.所得算出参照表'!$B$7,'5-1.併用メニュー（２年目）'!$K24*'3-2.所得算出参照表'!$E$7+'3-2.所得算出参照表'!$G$7,IF('5-1.併用メニュー（２年目）'!$AA24='3-2.所得算出参照表'!$B$8,'5-1.併用メニュー（２年目）'!$K24*'3-2.所得算出参照表'!$E$8+'3-2.所得算出参照表'!$G$8,IF('5-1.併用メニュー（２年目）'!$AA24='3-2.所得算出参照表'!$B$9,'5-1.併用メニュー（２年目）'!$K24*'3-2.所得算出参照表'!$E$9+'3-2.所得算出参照表'!$G$9,IF($AA24='3-2.所得算出参照表'!$B$10,'3-2.所得算出参照表'!$G$10)))))))</f>
        <v>550000</v>
      </c>
      <c r="AK24" s="47">
        <f t="shared" si="9"/>
        <v>430000</v>
      </c>
      <c r="AL24" s="95">
        <f t="shared" si="10"/>
        <v>377000</v>
      </c>
      <c r="AM24" s="95">
        <f t="shared" si="11"/>
        <v>5500</v>
      </c>
      <c r="AN24" s="96">
        <f t="shared" si="12"/>
        <v>0.1</v>
      </c>
      <c r="AO24" s="103">
        <f t="shared" si="24"/>
        <v>40700</v>
      </c>
      <c r="AP24" s="120">
        <f t="shared" si="13"/>
        <v>1299885.2</v>
      </c>
    </row>
    <row r="25" spans="2:42" ht="21.95" customHeight="1" x14ac:dyDescent="0.15">
      <c r="B25" s="76">
        <v>11</v>
      </c>
      <c r="C25" s="472">
        <f t="shared" si="14"/>
        <v>1040</v>
      </c>
      <c r="D25" s="475">
        <f t="shared" si="15"/>
        <v>0</v>
      </c>
      <c r="E25" s="474">
        <f t="shared" si="16"/>
        <v>1040</v>
      </c>
      <c r="F25" s="431">
        <f t="shared" si="25"/>
        <v>10</v>
      </c>
      <c r="G25" s="60">
        <f t="shared" si="26"/>
        <v>30</v>
      </c>
      <c r="H25" s="174">
        <f t="shared" si="0"/>
        <v>1564.2857142857142</v>
      </c>
      <c r="I25" s="72">
        <f t="shared" si="1"/>
        <v>135571.42857142855</v>
      </c>
      <c r="J25" s="66">
        <f t="shared" si="17"/>
        <v>137571.42857142855</v>
      </c>
      <c r="K25" s="73">
        <f t="shared" si="2"/>
        <v>1650857.1428571427</v>
      </c>
      <c r="L25" s="68">
        <f t="shared" si="18"/>
        <v>139571.42857142855</v>
      </c>
      <c r="M25" s="69">
        <f>IF($D$4="",0,IF($L25=0,0,VLOOKUP($L25,'3-1.標準報酬月額・保険料表'!$N$8:$O$57,2,TRUE)))</f>
        <v>142000</v>
      </c>
      <c r="N25" s="163">
        <f t="shared" si="3"/>
        <v>0</v>
      </c>
      <c r="O25" s="69">
        <f t="shared" si="4"/>
        <v>0</v>
      </c>
      <c r="P25" s="163">
        <f t="shared" si="5"/>
        <v>135571.42857142855</v>
      </c>
      <c r="Q25" s="36">
        <f>IF($D$4="",0,IF($G25&lt;20,0,IF($Q$13="",0,IF($Q$13=2,0,IF($P25&lt;$R$13,0,IF($M25&lt;=620000,VLOOKUP($M25,'3-1.標準報酬月額・保険料表'!$D$8:$L$42,9,FALSE),'3-1.標準報酬月額・保険料表'!$L$42)+ROUNDDOWN($O25*$W$7,0))))))</f>
        <v>12993</v>
      </c>
      <c r="R25" s="25">
        <f>IF($D$4="",0,IF($G25&lt;20,0,IF($O$9="",0,IF($Q$13=2,0,IF($D$10&gt;=$S$13,0,IF($P25&lt;$R$13,0,VLOOKUP($M25,'3-1.標準報酬月額・保険料表'!$D$8:$J$57,6,FALSE)+ROUNDDOWN($O25*$T$7,0)))))))</f>
        <v>7305.9000000000005</v>
      </c>
      <c r="S25" s="25">
        <f>IF($D$4="",0,IF($G25&lt;20,0,IF($Q$13="",0,IF($Q$13=2,0,IF($D$10&lt;$S$13,0,IF($P25&lt;$R$13,0,VLOOKUP($M25,'3-1.標準報酬月額・保険料表'!$D$8:$J$57,7,FALSE)+ROUNDDOWN($O25*$U$7,0)))))))</f>
        <v>0</v>
      </c>
      <c r="T25" s="41">
        <f t="shared" si="19"/>
        <v>20298.900000000001</v>
      </c>
      <c r="U25" s="46">
        <f>IF($D$4="",0,IF($U$13="",0,IF($U$13=1,0,IF($G25&lt;$W$13,0,IF($K25&lt;$V$13,0,IF($M25&lt;=620000,VLOOKUP($M25,'3-1.標準報酬月額・保険料表'!$D$8:$L$42,9,FALSE),'3-1.標準報酬月額・保険料表'!$L$42)+ROUNDDOWN($O25*$W$7,0))))))</f>
        <v>0</v>
      </c>
      <c r="V25" s="47">
        <f>IF($D$4="",0,IF($U$13="",0,IF($U$13=1,0,IF($G25&lt;$W$13,0,IF($K25&lt;$V$13,0,IF($D$10&gt;=$X$13,0,VLOOKUP($M25,'3-1.標準報酬月額・保険料表'!$D$8:$J$57,6,FALSE)+ROUNDDOWN($O25*$T$7,0)))))))</f>
        <v>0</v>
      </c>
      <c r="W25" s="47">
        <f>IF($D$4="",0,IF($U$13="",0,IF($U$13=1,0,IF($G25&lt;$W$13,0,IF($K25&lt;$V$13,0,IF($D$10&lt;$X$13,0,VLOOKUP($M25,'3-1.標準報酬月額・保険料表'!$D$8:$J$57,7,FALSE)+ROUNDDOWN($O25*$U$7,0)))))))</f>
        <v>0</v>
      </c>
      <c r="X25" s="48">
        <f t="shared" si="20"/>
        <v>0</v>
      </c>
      <c r="Y25" s="38">
        <f t="shared" si="6"/>
        <v>9905.1428571428569</v>
      </c>
      <c r="Z25" s="43">
        <f t="shared" si="21"/>
        <v>253491.94285714289</v>
      </c>
      <c r="AA25" s="127">
        <f>IF($D$4="","",VLOOKUP($K25,'3-2.所得算出参照表'!K$5:L$10,2,TRUE))</f>
        <v>1800000</v>
      </c>
      <c r="AB25" s="128">
        <f>IF($AA25="",0,IF($AA25='3-2.所得算出参照表'!$B$5,'3-2.所得算出参照表'!$E$5,IF('5-1.併用メニュー（２年目）'!$AA25='3-2.所得算出参照表'!$B$6,'5-1.併用メニュー（２年目）'!$K25*'3-2.所得算出参照表'!$E$6+'3-2.所得算出参照表'!$G$6,IF('5-1.併用メニュー（２年目）'!$AA25='3-2.所得算出参照表'!$B$7,'5-1.併用メニュー（２年目）'!$K25*'3-2.所得算出参照表'!$E$7+'3-2.所得算出参照表'!$G$7,IF('5-1.併用メニュー（２年目）'!$AA25='3-2.所得算出参照表'!$B$8,'5-1.併用メニュー（２年目）'!$K25*'3-2.所得算出参照表'!$E$8+'3-2.所得算出参照表'!$G$8,IF('5-1.併用メニュー（２年目）'!$AA25='3-2.所得算出参照表'!$B$9,'5-1.併用メニュー（２年目）'!$K25*'3-2.所得算出参照表'!$E$9+'3-2.所得算出参照表'!$G$9,IF($AA25='3-2.所得算出参照表'!$B$10,'3-2.所得算出参照表'!$G$10)))))))</f>
        <v>560342.85714285716</v>
      </c>
      <c r="AC25" s="90">
        <f t="shared" si="7"/>
        <v>480000</v>
      </c>
      <c r="AD25" s="85">
        <f t="shared" si="8"/>
        <v>357000</v>
      </c>
      <c r="AE25" s="130">
        <f>VLOOKUP($AD25,'3-2.所得算出参照表'!$N$4:$O$11,2,TRUE)</f>
        <v>0.05</v>
      </c>
      <c r="AF25" s="85">
        <f>VLOOKUP($AD25,'3-2.所得算出参照表'!$P$4:$Q$11,2,TRUE)</f>
        <v>0</v>
      </c>
      <c r="AG25" s="85">
        <f t="shared" si="27"/>
        <v>17850</v>
      </c>
      <c r="AH25" s="85">
        <f>$AG25*'3-2.所得算出参照表'!$D$14</f>
        <v>374.85</v>
      </c>
      <c r="AI25" s="99">
        <f t="shared" si="28"/>
        <v>18200</v>
      </c>
      <c r="AJ25" s="107">
        <f>IF($AA25="",0,IF($AA25='3-2.所得算出参照表'!$B$5,'3-2.所得算出参照表'!$E$5,IF('5-1.併用メニュー（２年目）'!$AA25='3-2.所得算出参照表'!$B$6,'5-1.併用メニュー（２年目）'!$K25*'3-2.所得算出参照表'!$E$6+'3-2.所得算出参照表'!$G$6,IF('5-1.併用メニュー（２年目）'!$AA25='3-2.所得算出参照表'!$B$7,'5-1.併用メニュー（２年目）'!$K25*'3-2.所得算出参照表'!$E$7+'3-2.所得算出参照表'!$G$7,IF('5-1.併用メニュー（２年目）'!$AA25='3-2.所得算出参照表'!$B$8,'5-1.併用メニュー（２年目）'!$K25*'3-2.所得算出参照表'!$E$8+'3-2.所得算出参照表'!$G$8,IF('5-1.併用メニュー（２年目）'!$AA25='3-2.所得算出参照表'!$B$9,'5-1.併用メニュー（２年目）'!$K25*'3-2.所得算出参照表'!$E$9+'3-2.所得算出参照表'!$G$9,IF($AA25='3-2.所得算出参照表'!$B$10,'3-2.所得算出参照表'!$G$10)))))))</f>
        <v>560342.85714285716</v>
      </c>
      <c r="AK25" s="47">
        <f t="shared" si="9"/>
        <v>430000</v>
      </c>
      <c r="AL25" s="95">
        <f t="shared" si="10"/>
        <v>407000</v>
      </c>
      <c r="AM25" s="95">
        <f t="shared" si="11"/>
        <v>5500</v>
      </c>
      <c r="AN25" s="96">
        <f t="shared" si="12"/>
        <v>0.1</v>
      </c>
      <c r="AO25" s="103">
        <f t="shared" si="24"/>
        <v>43700</v>
      </c>
      <c r="AP25" s="120">
        <f t="shared" si="13"/>
        <v>1335465.1999999997</v>
      </c>
    </row>
    <row r="26" spans="2:42" ht="21.95" customHeight="1" x14ac:dyDescent="0.15">
      <c r="B26" s="75">
        <v>12</v>
      </c>
      <c r="C26" s="472">
        <f t="shared" si="14"/>
        <v>1040</v>
      </c>
      <c r="D26" s="475">
        <f t="shared" si="15"/>
        <v>0</v>
      </c>
      <c r="E26" s="474">
        <f t="shared" si="16"/>
        <v>1040</v>
      </c>
      <c r="F26" s="431">
        <f t="shared" si="25"/>
        <v>11</v>
      </c>
      <c r="G26" s="60">
        <f t="shared" si="26"/>
        <v>31</v>
      </c>
      <c r="H26" s="174">
        <f t="shared" si="0"/>
        <v>1616.4285714285713</v>
      </c>
      <c r="I26" s="72">
        <f t="shared" si="1"/>
        <v>140090.47619047618</v>
      </c>
      <c r="J26" s="66">
        <f t="shared" si="17"/>
        <v>142090.47619047618</v>
      </c>
      <c r="K26" s="73">
        <f t="shared" si="2"/>
        <v>1705085.7142857141</v>
      </c>
      <c r="L26" s="68">
        <f t="shared" si="18"/>
        <v>144090.47619047618</v>
      </c>
      <c r="M26" s="69">
        <f>IF($D$4="",0,IF($L26=0,0,VLOOKUP($L26,'3-1.標準報酬月額・保険料表'!$N$8:$O$57,2,TRUE)))</f>
        <v>142000</v>
      </c>
      <c r="N26" s="163">
        <f t="shared" si="3"/>
        <v>0</v>
      </c>
      <c r="O26" s="69">
        <f t="shared" si="4"/>
        <v>0</v>
      </c>
      <c r="P26" s="163">
        <f t="shared" si="5"/>
        <v>140090.47619047618</v>
      </c>
      <c r="Q26" s="36">
        <f>IF($D$4="",0,IF($G26&lt;20,0,IF($Q$13="",0,IF($Q$13=2,0,IF($P26&lt;$R$13,0,IF($M26&lt;=620000,VLOOKUP($M26,'3-1.標準報酬月額・保険料表'!$D$8:$L$42,9,FALSE),'3-1.標準報酬月額・保険料表'!$L$42)+ROUNDDOWN($O26*$W$7,0))))))</f>
        <v>12993</v>
      </c>
      <c r="R26" s="25">
        <f>IF($D$4="",0,IF($G26&lt;20,0,IF($O$9="",0,IF($Q$13=2,0,IF($D$10&gt;=$S$13,0,IF($P26&lt;$R$13,0,VLOOKUP($M26,'3-1.標準報酬月額・保険料表'!$D$8:$J$57,6,FALSE)+ROUNDDOWN($O26*$T$7,0)))))))</f>
        <v>7305.9000000000005</v>
      </c>
      <c r="S26" s="25">
        <f>IF($D$4="",0,IF($G26&lt;20,0,IF($Q$13="",0,IF($Q$13=2,0,IF($D$10&lt;$S$13,0,IF($P26&lt;$R$13,0,VLOOKUP($M26,'3-1.標準報酬月額・保険料表'!$D$8:$J$57,7,FALSE)+ROUNDDOWN($O26*$U$7,0)))))))</f>
        <v>0</v>
      </c>
      <c r="T26" s="41">
        <f t="shared" si="19"/>
        <v>20298.900000000001</v>
      </c>
      <c r="U26" s="46">
        <f>IF($D$4="",0,IF($U$13="",0,IF($U$13=1,0,IF($G26&lt;$W$13,0,IF($K26&lt;$V$13,0,IF($M26&lt;=620000,VLOOKUP($M26,'3-1.標準報酬月額・保険料表'!$D$8:$L$42,9,FALSE),'3-1.標準報酬月額・保険料表'!$L$42)+ROUNDDOWN($O26*$W$7,0))))))</f>
        <v>0</v>
      </c>
      <c r="V26" s="47">
        <f>IF($D$4="",0,IF($U$13="",0,IF($U$13=1,0,IF($G26&lt;$W$13,0,IF($K26&lt;$V$13,0,IF($D$10&gt;=$X$13,0,VLOOKUP($M26,'3-1.標準報酬月額・保険料表'!$D$8:$J$57,6,FALSE)+ROUNDDOWN($O26*$T$7,0)))))))</f>
        <v>0</v>
      </c>
      <c r="W26" s="47">
        <f>IF($D$4="",0,IF($U$13="",0,IF($U$13=1,0,IF($G26&lt;$W$13,0,IF($K26&lt;$V$13,0,IF($D$10&lt;$X$13,0,VLOOKUP($M26,'3-1.標準報酬月額・保険料表'!$D$8:$J$57,7,FALSE)+ROUNDDOWN($O26*$U$7,0)))))))</f>
        <v>0</v>
      </c>
      <c r="X26" s="48">
        <f t="shared" si="20"/>
        <v>0</v>
      </c>
      <c r="Y26" s="38">
        <f t="shared" si="6"/>
        <v>10230.514285714286</v>
      </c>
      <c r="Z26" s="43">
        <f t="shared" si="21"/>
        <v>253817.3142857143</v>
      </c>
      <c r="AA26" s="127">
        <f>IF($D$4="","",VLOOKUP($K26,'3-2.所得算出参照表'!K$5:L$10,2,TRUE))</f>
        <v>1800000</v>
      </c>
      <c r="AB26" s="128">
        <f>IF($AA26="",0,IF($AA26='3-2.所得算出参照表'!$B$5,'3-2.所得算出参照表'!$E$5,IF('5-1.併用メニュー（２年目）'!$AA26='3-2.所得算出参照表'!$B$6,'5-1.併用メニュー（２年目）'!$K26*'3-2.所得算出参照表'!$E$6+'3-2.所得算出参照表'!$G$6,IF('5-1.併用メニュー（２年目）'!$AA26='3-2.所得算出参照表'!$B$7,'5-1.併用メニュー（２年目）'!$K26*'3-2.所得算出参照表'!$E$7+'3-2.所得算出参照表'!$G$7,IF('5-1.併用メニュー（２年目）'!$AA26='3-2.所得算出参照表'!$B$8,'5-1.併用メニュー（２年目）'!$K26*'3-2.所得算出参照表'!$E$8+'3-2.所得算出参照表'!$G$8,IF('5-1.併用メニュー（２年目）'!$AA26='3-2.所得算出参照表'!$B$9,'5-1.併用メニュー（２年目）'!$K26*'3-2.所得算出参照表'!$E$9+'3-2.所得算出参照表'!$G$9,IF($AA26='3-2.所得算出参照表'!$B$10,'3-2.所得算出参照表'!$G$10)))))))</f>
        <v>582034.28571428568</v>
      </c>
      <c r="AC26" s="90">
        <f t="shared" si="7"/>
        <v>480000</v>
      </c>
      <c r="AD26" s="85">
        <f t="shared" si="8"/>
        <v>389000</v>
      </c>
      <c r="AE26" s="130">
        <f>VLOOKUP($AD26,'3-2.所得算出参照表'!$N$4:$O$11,2,TRUE)</f>
        <v>0.05</v>
      </c>
      <c r="AF26" s="85">
        <f>VLOOKUP($AD26,'3-2.所得算出参照表'!$P$4:$Q$11,2,TRUE)</f>
        <v>0</v>
      </c>
      <c r="AG26" s="85">
        <f t="shared" si="27"/>
        <v>19450</v>
      </c>
      <c r="AH26" s="85">
        <f>$AG26*'3-2.所得算出参照表'!$D$14</f>
        <v>408.45000000000005</v>
      </c>
      <c r="AI26" s="99">
        <f t="shared" si="28"/>
        <v>19800</v>
      </c>
      <c r="AJ26" s="107">
        <f>IF($AA26="",0,IF($AA26='3-2.所得算出参照表'!$B$5,'3-2.所得算出参照表'!$E$5,IF('5-1.併用メニュー（２年目）'!$AA26='3-2.所得算出参照表'!$B$6,'5-1.併用メニュー（２年目）'!$K26*'3-2.所得算出参照表'!$E$6+'3-2.所得算出参照表'!$G$6,IF('5-1.併用メニュー（２年目）'!$AA26='3-2.所得算出参照表'!$B$7,'5-1.併用メニュー（２年目）'!$K26*'3-2.所得算出参照表'!$E$7+'3-2.所得算出参照表'!$G$7,IF('5-1.併用メニュー（２年目）'!$AA26='3-2.所得算出参照表'!$B$8,'5-1.併用メニュー（２年目）'!$K26*'3-2.所得算出参照表'!$E$8+'3-2.所得算出参照表'!$G$8,IF('5-1.併用メニュー（２年目）'!$AA26='3-2.所得算出参照表'!$B$9,'5-1.併用メニュー（２年目）'!$K26*'3-2.所得算出参照表'!$E$9+'3-2.所得算出参照表'!$G$9,IF($AA26='3-2.所得算出参照表'!$B$10,'3-2.所得算出参照表'!$G$10)))))))</f>
        <v>582034.28571428568</v>
      </c>
      <c r="AK26" s="47">
        <f t="shared" si="9"/>
        <v>430000</v>
      </c>
      <c r="AL26" s="95">
        <f t="shared" si="10"/>
        <v>439000</v>
      </c>
      <c r="AM26" s="95">
        <f t="shared" si="11"/>
        <v>5500</v>
      </c>
      <c r="AN26" s="96">
        <f t="shared" si="12"/>
        <v>0.1</v>
      </c>
      <c r="AO26" s="103">
        <f t="shared" si="24"/>
        <v>46900</v>
      </c>
      <c r="AP26" s="120">
        <f t="shared" si="13"/>
        <v>1384568.4</v>
      </c>
    </row>
    <row r="27" spans="2:42" ht="21.95" customHeight="1" x14ac:dyDescent="0.15">
      <c r="B27" s="76">
        <v>13</v>
      </c>
      <c r="C27" s="472">
        <f t="shared" si="14"/>
        <v>1040</v>
      </c>
      <c r="D27" s="475">
        <f t="shared" si="15"/>
        <v>0</v>
      </c>
      <c r="E27" s="474">
        <f t="shared" si="16"/>
        <v>1040</v>
      </c>
      <c r="F27" s="431">
        <f t="shared" si="25"/>
        <v>12</v>
      </c>
      <c r="G27" s="60">
        <f t="shared" si="26"/>
        <v>32</v>
      </c>
      <c r="H27" s="174">
        <f t="shared" si="0"/>
        <v>1668.5714285714287</v>
      </c>
      <c r="I27" s="72">
        <f t="shared" si="1"/>
        <v>144609.52380952382</v>
      </c>
      <c r="J27" s="66">
        <f t="shared" si="17"/>
        <v>146609.52380952382</v>
      </c>
      <c r="K27" s="73">
        <f t="shared" si="2"/>
        <v>1759314.2857142859</v>
      </c>
      <c r="L27" s="68">
        <f t="shared" si="18"/>
        <v>148609.52380952382</v>
      </c>
      <c r="M27" s="69">
        <f>IF($D$4="",0,IF($L27=0,0,VLOOKUP($L27,'3-1.標準報酬月額・保険料表'!$N$8:$O$57,2,TRUE)))</f>
        <v>150000</v>
      </c>
      <c r="N27" s="163">
        <f t="shared" si="3"/>
        <v>0</v>
      </c>
      <c r="O27" s="69">
        <f t="shared" si="4"/>
        <v>0</v>
      </c>
      <c r="P27" s="163">
        <f t="shared" si="5"/>
        <v>144609.52380952382</v>
      </c>
      <c r="Q27" s="36">
        <f>IF($D$4="",0,IF($G27&lt;20,0,IF($Q$13="",0,IF($Q$13=2,0,IF($P27&lt;$R$13,0,IF($M27&lt;=620000,VLOOKUP($M27,'3-1.標準報酬月額・保険料表'!$D$8:$L$42,9,FALSE),'3-1.標準報酬月額・保険料表'!$L$42)+ROUNDDOWN($O27*$W$7,0))))))</f>
        <v>13725</v>
      </c>
      <c r="R27" s="25">
        <f>IF($D$4="",0,IF($G27&lt;20,0,IF($O$9="",0,IF($Q$13=2,0,IF($D$10&gt;=$S$13,0,IF($P27&lt;$R$13,0,VLOOKUP($M27,'3-1.標準報酬月額・保険料表'!$D$8:$J$57,6,FALSE)+ROUNDDOWN($O27*$T$7,0)))))))</f>
        <v>7717.5</v>
      </c>
      <c r="S27" s="25">
        <f>IF($D$4="",0,IF($G27&lt;20,0,IF($Q$13="",0,IF($Q$13=2,0,IF($D$10&lt;$S$13,0,IF($P27&lt;$R$13,0,VLOOKUP($M27,'3-1.標準報酬月額・保険料表'!$D$8:$J$57,7,FALSE)+ROUNDDOWN($O27*$U$7,0)))))))</f>
        <v>0</v>
      </c>
      <c r="T27" s="41">
        <f t="shared" si="19"/>
        <v>21442.5</v>
      </c>
      <c r="U27" s="46">
        <f>IF($D$4="",0,IF($U$13="",0,IF($U$13=1,0,IF($G27&lt;$W$13,0,IF($K27&lt;$V$13,0,IF($M27&lt;=620000,VLOOKUP($M27,'3-1.標準報酬月額・保険料表'!$D$8:$L$42,9,FALSE),'3-1.標準報酬月額・保険料表'!$L$42)+ROUNDDOWN($O27*$W$7,0))))))</f>
        <v>0</v>
      </c>
      <c r="V27" s="47">
        <f>IF($D$4="",0,IF($U$13="",0,IF($U$13=1,0,IF($G27&lt;$W$13,0,IF($K27&lt;$V$13,0,IF($D$10&gt;=$X$13,0,VLOOKUP($M27,'3-1.標準報酬月額・保険料表'!$D$8:$J$57,6,FALSE)+ROUNDDOWN($O27*$T$7,0)))))))</f>
        <v>0</v>
      </c>
      <c r="W27" s="47">
        <f>IF($D$4="",0,IF($U$13="",0,IF($U$13=1,0,IF($G27&lt;$W$13,0,IF($K27&lt;$V$13,0,IF($D$10&lt;$X$13,0,VLOOKUP($M27,'3-1.標準報酬月額・保険料表'!$D$8:$J$57,7,FALSE)+ROUNDDOWN($O27*$U$7,0)))))))</f>
        <v>0</v>
      </c>
      <c r="X27" s="48">
        <f>SUM($U27:$W27)</f>
        <v>0</v>
      </c>
      <c r="Y27" s="38">
        <f t="shared" si="6"/>
        <v>10555.885714285716</v>
      </c>
      <c r="Z27" s="43">
        <f t="shared" si="21"/>
        <v>267865.88571428572</v>
      </c>
      <c r="AA27" s="127">
        <f>IF($D$4="","",VLOOKUP($K27,'3-2.所得算出参照表'!K$5:L$10,2,TRUE))</f>
        <v>1800000</v>
      </c>
      <c r="AB27" s="128">
        <f>IF($AA27="",0,IF($AA27='3-2.所得算出参照表'!$B$5,'3-2.所得算出参照表'!$E$5,IF('5-1.併用メニュー（２年目）'!$AA27='3-2.所得算出参照表'!$B$6,'5-1.併用メニュー（２年目）'!$K27*'3-2.所得算出参照表'!$E$6+'3-2.所得算出参照表'!$G$6,IF('5-1.併用メニュー（２年目）'!$AA27='3-2.所得算出参照表'!$B$7,'5-1.併用メニュー（２年目）'!$K27*'3-2.所得算出参照表'!$E$7+'3-2.所得算出参照表'!$G$7,IF('5-1.併用メニュー（２年目）'!$AA27='3-2.所得算出参照表'!$B$8,'5-1.併用メニュー（２年目）'!$K27*'3-2.所得算出参照表'!$E$8+'3-2.所得算出参照表'!$G$8,IF('5-1.併用メニュー（２年目）'!$AA27='3-2.所得算出参照表'!$B$9,'5-1.併用メニュー（２年目）'!$K27*'3-2.所得算出参照表'!$E$9+'3-2.所得算出参照表'!$G$9,IF($AA27='3-2.所得算出参照表'!$B$10,'3-2.所得算出参照表'!$G$10)))))))</f>
        <v>603725.71428571444</v>
      </c>
      <c r="AC27" s="90">
        <f t="shared" si="7"/>
        <v>480000</v>
      </c>
      <c r="AD27" s="85">
        <f t="shared" si="8"/>
        <v>407000</v>
      </c>
      <c r="AE27" s="130">
        <f>VLOOKUP($AD27,'3-2.所得算出参照表'!$N$4:$O$11,2,TRUE)</f>
        <v>0.05</v>
      </c>
      <c r="AF27" s="85">
        <f>VLOOKUP($AD27,'3-2.所得算出参照表'!$P$4:$Q$11,2,TRUE)</f>
        <v>0</v>
      </c>
      <c r="AG27" s="85">
        <f t="shared" si="27"/>
        <v>20350</v>
      </c>
      <c r="AH27" s="85">
        <f>$AG27*'3-2.所得算出参照表'!$D$14</f>
        <v>427.35</v>
      </c>
      <c r="AI27" s="99">
        <f t="shared" si="28"/>
        <v>20700</v>
      </c>
      <c r="AJ27" s="107">
        <f>IF($AA27="",0,IF($AA27='3-2.所得算出参照表'!$B$5,'3-2.所得算出参照表'!$E$5,IF('5-1.併用メニュー（２年目）'!$AA27='3-2.所得算出参照表'!$B$6,'5-1.併用メニュー（２年目）'!$K27*'3-2.所得算出参照表'!$E$6+'3-2.所得算出参照表'!$G$6,IF('5-1.併用メニュー（２年目）'!$AA27='3-2.所得算出参照表'!$B$7,'5-1.併用メニュー（２年目）'!$K27*'3-2.所得算出参照表'!$E$7+'3-2.所得算出参照表'!$G$7,IF('5-1.併用メニュー（２年目）'!$AA27='3-2.所得算出参照表'!$B$8,'5-1.併用メニュー（２年目）'!$K27*'3-2.所得算出参照表'!$E$8+'3-2.所得算出参照表'!$G$8,IF('5-1.併用メニュー（２年目）'!$AA27='3-2.所得算出参照表'!$B$9,'5-1.併用メニュー（２年目）'!$K27*'3-2.所得算出参照表'!$E$9+'3-2.所得算出参照表'!$G$9,IF($AA27='3-2.所得算出参照表'!$B$10,'3-2.所得算出参照表'!$G$10)))))))</f>
        <v>603725.71428571444</v>
      </c>
      <c r="AK27" s="47">
        <f t="shared" si="9"/>
        <v>430000</v>
      </c>
      <c r="AL27" s="95">
        <f t="shared" si="10"/>
        <v>457000</v>
      </c>
      <c r="AM27" s="95">
        <f t="shared" si="11"/>
        <v>5500</v>
      </c>
      <c r="AN27" s="96">
        <f t="shared" si="12"/>
        <v>0.1</v>
      </c>
      <c r="AO27" s="103">
        <f t="shared" si="24"/>
        <v>48700</v>
      </c>
      <c r="AP27" s="120">
        <f t="shared" si="13"/>
        <v>1422048.4000000001</v>
      </c>
    </row>
    <row r="28" spans="2:42" ht="21.95" customHeight="1" x14ac:dyDescent="0.15">
      <c r="B28" s="76">
        <v>14</v>
      </c>
      <c r="C28" s="472">
        <f t="shared" si="14"/>
        <v>1040</v>
      </c>
      <c r="D28" s="475">
        <f t="shared" si="15"/>
        <v>0</v>
      </c>
      <c r="E28" s="474">
        <f t="shared" si="16"/>
        <v>1040</v>
      </c>
      <c r="F28" s="431">
        <f t="shared" si="25"/>
        <v>13</v>
      </c>
      <c r="G28" s="60">
        <f t="shared" si="26"/>
        <v>33</v>
      </c>
      <c r="H28" s="174">
        <f t="shared" si="0"/>
        <v>1720.7142857142858</v>
      </c>
      <c r="I28" s="72">
        <f t="shared" si="1"/>
        <v>149128.57142857145</v>
      </c>
      <c r="J28" s="66">
        <f t="shared" si="17"/>
        <v>151128.57142857145</v>
      </c>
      <c r="K28" s="73">
        <f t="shared" si="2"/>
        <v>1813542.8571428573</v>
      </c>
      <c r="L28" s="68">
        <f t="shared" si="18"/>
        <v>153128.57142857145</v>
      </c>
      <c r="M28" s="69">
        <f>IF($D$4="",0,IF($L28=0,0,VLOOKUP($L28,'3-1.標準報酬月額・保険料表'!$N$8:$O$57,2,TRUE)))</f>
        <v>150000</v>
      </c>
      <c r="N28" s="163">
        <f t="shared" si="3"/>
        <v>0</v>
      </c>
      <c r="O28" s="69">
        <f t="shared" si="4"/>
        <v>0</v>
      </c>
      <c r="P28" s="163">
        <f t="shared" si="5"/>
        <v>149128.57142857145</v>
      </c>
      <c r="Q28" s="36">
        <f>IF($D$4="",0,IF($G28&lt;20,0,IF($Q$13="",0,IF($Q$13=2,0,IF($P28&lt;$R$13,0,IF($M28&lt;=620000,VLOOKUP($M28,'3-1.標準報酬月額・保険料表'!$D$8:$L$42,9,FALSE),'3-1.標準報酬月額・保険料表'!$L$42)+ROUNDDOWN($O28*$W$7,0))))))</f>
        <v>13725</v>
      </c>
      <c r="R28" s="25">
        <f>IF($D$4="",0,IF($G28&lt;20,0,IF($O$9="",0,IF($Q$13=2,0,IF($D$10&gt;=$S$13,0,IF($P28&lt;$R$13,0,VLOOKUP($M28,'3-1.標準報酬月額・保険料表'!$D$8:$J$57,6,FALSE)+ROUNDDOWN($O28*$T$7,0)))))))</f>
        <v>7717.5</v>
      </c>
      <c r="S28" s="25">
        <f>IF($D$4="",0,IF($G28&lt;20,0,IF($Q$13="",0,IF($Q$13=2,0,IF($D$10&lt;$S$13,0,IF($P28&lt;$R$13,0,VLOOKUP($M28,'3-1.標準報酬月額・保険料表'!$D$8:$J$57,7,FALSE)+ROUNDDOWN($O28*$U$7,0)))))))</f>
        <v>0</v>
      </c>
      <c r="T28" s="41">
        <f t="shared" si="19"/>
        <v>21442.5</v>
      </c>
      <c r="U28" s="46">
        <f>IF($D$4="",0,IF($U$13="",0,IF($U$13=1,0,IF($G28&lt;$W$13,0,IF($K28&lt;$V$13,0,IF($M28&lt;=620000,VLOOKUP($M28,'3-1.標準報酬月額・保険料表'!$D$8:$L$42,9,FALSE),'3-1.標準報酬月額・保険料表'!$L$42)+ROUNDDOWN($O28*$W$7,0))))))</f>
        <v>0</v>
      </c>
      <c r="V28" s="47">
        <f>IF($D$4="",0,IF($U$13="",0,IF($U$13=1,0,IF($G28&lt;$W$13,0,IF($K28&lt;$V$13,0,IF($D$10&gt;=$X$13,0,VLOOKUP($M28,'3-1.標準報酬月額・保険料表'!$D$8:$J$57,6,FALSE)+ROUNDDOWN($O28*$T$7,0)))))))</f>
        <v>0</v>
      </c>
      <c r="W28" s="47">
        <f>IF($D$4="",0,IF($U$13="",0,IF($U$13=1,0,IF($G28&lt;$W$13,0,IF($K28&lt;$V$13,0,IF($D$10&lt;$X$13,0,VLOOKUP($M28,'3-1.標準報酬月額・保険料表'!$D$8:$J$57,7,FALSE)+ROUNDDOWN($O28*$U$7,0)))))))</f>
        <v>0</v>
      </c>
      <c r="X28" s="48">
        <f t="shared" si="20"/>
        <v>0</v>
      </c>
      <c r="Y28" s="38">
        <f t="shared" si="6"/>
        <v>10881.257142857145</v>
      </c>
      <c r="Z28" s="43">
        <f t="shared" si="21"/>
        <v>268191.25714285712</v>
      </c>
      <c r="AA28" s="127">
        <f>IF($D$4="","",VLOOKUP($K28,'3-2.所得算出参照表'!K$5:L$10,2,TRUE))</f>
        <v>3600000</v>
      </c>
      <c r="AB28" s="128">
        <f>IF($AA28="",0,IF($AA28='3-2.所得算出参照表'!$B$5,'3-2.所得算出参照表'!$E$5,IF('5-1.併用メニュー（２年目）'!$AA28='3-2.所得算出参照表'!$B$6,'5-1.併用メニュー（２年目）'!$K28*'3-2.所得算出参照表'!$E$6+'3-2.所得算出参照表'!$G$6,IF('5-1.併用メニュー（２年目）'!$AA28='3-2.所得算出参照表'!$B$7,'5-1.併用メニュー（２年目）'!$K28*'3-2.所得算出参照表'!$E$7+'3-2.所得算出参照表'!$G$7,IF('5-1.併用メニュー（２年目）'!$AA28='3-2.所得算出参照表'!$B$8,'5-1.併用メニュー（２年目）'!$K28*'3-2.所得算出参照表'!$E$8+'3-2.所得算出参照表'!$G$8,IF('5-1.併用メニュー（２年目）'!$AA28='3-2.所得算出参照表'!$B$9,'5-1.併用メニュー（２年目）'!$K28*'3-2.所得算出参照表'!$E$9+'3-2.所得算出参照表'!$G$9,IF($AA28='3-2.所得算出参照表'!$B$10,'3-2.所得算出参照表'!$G$10)))))))</f>
        <v>624062.85714285716</v>
      </c>
      <c r="AC28" s="90">
        <f t="shared" si="7"/>
        <v>480000</v>
      </c>
      <c r="AD28" s="85">
        <f t="shared" si="8"/>
        <v>441000</v>
      </c>
      <c r="AE28" s="130">
        <f>VLOOKUP($AD28,'3-2.所得算出参照表'!$N$4:$O$11,2,TRUE)</f>
        <v>0.05</v>
      </c>
      <c r="AF28" s="85">
        <f>VLOOKUP($AD28,'3-2.所得算出参照表'!$P$4:$Q$11,2,TRUE)</f>
        <v>0</v>
      </c>
      <c r="AG28" s="85">
        <f t="shared" si="27"/>
        <v>22050</v>
      </c>
      <c r="AH28" s="85">
        <f>$AG28*'3-2.所得算出参照表'!$D$14</f>
        <v>463.05</v>
      </c>
      <c r="AI28" s="99">
        <f t="shared" si="28"/>
        <v>22500</v>
      </c>
      <c r="AJ28" s="107">
        <f>IF($AA28="",0,IF($AA28='3-2.所得算出参照表'!$B$5,'3-2.所得算出参照表'!$E$5,IF('5-1.併用メニュー（２年目）'!$AA28='3-2.所得算出参照表'!$B$6,'5-1.併用メニュー（２年目）'!$K28*'3-2.所得算出参照表'!$E$6+'3-2.所得算出参照表'!$G$6,IF('5-1.併用メニュー（２年目）'!$AA28='3-2.所得算出参照表'!$B$7,'5-1.併用メニュー（２年目）'!$K28*'3-2.所得算出参照表'!$E$7+'3-2.所得算出参照表'!$G$7,IF('5-1.併用メニュー（２年目）'!$AA28='3-2.所得算出参照表'!$B$8,'5-1.併用メニュー（２年目）'!$K28*'3-2.所得算出参照表'!$E$8+'3-2.所得算出参照表'!$G$8,IF('5-1.併用メニュー（２年目）'!$AA28='3-2.所得算出参照表'!$B$9,'5-1.併用メニュー（２年目）'!$K28*'3-2.所得算出参照表'!$E$9+'3-2.所得算出参照表'!$G$9,IF($AA28='3-2.所得算出参照表'!$B$10,'3-2.所得算出参照表'!$G$10)))))))</f>
        <v>624062.85714285716</v>
      </c>
      <c r="AK28" s="47">
        <f t="shared" si="9"/>
        <v>430000</v>
      </c>
      <c r="AL28" s="95">
        <f t="shared" si="10"/>
        <v>491000</v>
      </c>
      <c r="AM28" s="95">
        <f t="shared" si="11"/>
        <v>5500</v>
      </c>
      <c r="AN28" s="96">
        <f t="shared" si="12"/>
        <v>0.1</v>
      </c>
      <c r="AO28" s="103">
        <f t="shared" si="24"/>
        <v>52100</v>
      </c>
      <c r="AP28" s="120">
        <f t="shared" si="13"/>
        <v>1470751.6</v>
      </c>
    </row>
    <row r="29" spans="2:42" ht="21.95" customHeight="1" x14ac:dyDescent="0.15">
      <c r="B29" s="76">
        <v>15</v>
      </c>
      <c r="C29" s="472">
        <f t="shared" si="14"/>
        <v>1040</v>
      </c>
      <c r="D29" s="475">
        <f t="shared" si="15"/>
        <v>0</v>
      </c>
      <c r="E29" s="474">
        <f t="shared" si="16"/>
        <v>1040</v>
      </c>
      <c r="F29" s="431">
        <f t="shared" si="25"/>
        <v>14</v>
      </c>
      <c r="G29" s="60">
        <f t="shared" si="26"/>
        <v>34</v>
      </c>
      <c r="H29" s="174">
        <f t="shared" si="0"/>
        <v>1772.8571428571429</v>
      </c>
      <c r="I29" s="72">
        <f t="shared" si="1"/>
        <v>153647.61904761905</v>
      </c>
      <c r="J29" s="66">
        <f t="shared" si="17"/>
        <v>155647.61904761905</v>
      </c>
      <c r="K29" s="73">
        <f t="shared" si="2"/>
        <v>1867771.4285714286</v>
      </c>
      <c r="L29" s="68">
        <f t="shared" si="18"/>
        <v>157647.61904761905</v>
      </c>
      <c r="M29" s="69">
        <f>IF($D$4="",0,IF($L29=0,0,VLOOKUP($L29,'3-1.標準報酬月額・保険料表'!$N$8:$O$57,2,TRUE)))</f>
        <v>160000</v>
      </c>
      <c r="N29" s="163">
        <f t="shared" si="3"/>
        <v>0</v>
      </c>
      <c r="O29" s="69">
        <f t="shared" si="4"/>
        <v>0</v>
      </c>
      <c r="P29" s="163">
        <f t="shared" si="5"/>
        <v>153647.61904761905</v>
      </c>
      <c r="Q29" s="36">
        <f>IF($D$4="",0,IF($G29&lt;20,0,IF($Q$13="",0,IF($Q$13=2,0,IF($P29&lt;$R$13,0,IF($M29&lt;=620000,VLOOKUP($M29,'3-1.標準報酬月額・保険料表'!$D$8:$L$42,9,FALSE),'3-1.標準報酬月額・保険料表'!$L$42)+ROUNDDOWN($O29*$W$7,0))))))</f>
        <v>14640</v>
      </c>
      <c r="R29" s="25">
        <f>IF($D$4="",0,IF($G29&lt;20,0,IF($O$9="",0,IF($Q$13=2,0,IF($D$10&gt;=$S$13,0,IF($P29&lt;$R$13,0,VLOOKUP($M29,'3-1.標準報酬月額・保険料表'!$D$8:$J$57,6,FALSE)+ROUNDDOWN($O29*$T$7,0)))))))</f>
        <v>8232</v>
      </c>
      <c r="S29" s="25">
        <f>IF($D$4="",0,IF($G29&lt;20,0,IF($Q$13="",0,IF($Q$13=2,0,IF($D$10&lt;$S$13,0,IF($P29&lt;$R$13,0,VLOOKUP($M29,'3-1.標準報酬月額・保険料表'!$D$8:$J$57,7,FALSE)+ROUNDDOWN($O29*$U$7,0)))))))</f>
        <v>0</v>
      </c>
      <c r="T29" s="41">
        <f t="shared" si="19"/>
        <v>22872</v>
      </c>
      <c r="U29" s="46">
        <f>IF($D$4="",0,IF($U$13="",0,IF($U$13=1,0,IF($G29&lt;$W$13,0,IF($K29&lt;$V$13,0,IF($M29&lt;=620000,VLOOKUP($M29,'3-1.標準報酬月額・保険料表'!$D$8:$L$42,9,FALSE),'3-1.標準報酬月額・保険料表'!$L$42)+ROUNDDOWN($O29*$W$7,0))))))</f>
        <v>0</v>
      </c>
      <c r="V29" s="47">
        <f>IF($D$4="",0,IF($U$13="",0,IF($U$13=1,0,IF($G29&lt;$W$13,0,IF($K29&lt;$V$13,0,IF($D$10&gt;=$X$13,0,VLOOKUP($M29,'3-1.標準報酬月額・保険料表'!$D$8:$J$57,6,FALSE)+ROUNDDOWN($O29*$T$7,0)))))))</f>
        <v>0</v>
      </c>
      <c r="W29" s="47">
        <f>IF($D$4="",0,IF($U$13="",0,IF($U$13=1,0,IF($G29&lt;$W$13,0,IF($K29&lt;$V$13,0,IF($D$10&lt;$X$13,0,VLOOKUP($M29,'3-1.標準報酬月額・保険料表'!$D$8:$J$57,7,FALSE)+ROUNDDOWN($O29*$U$7,0)))))))</f>
        <v>0</v>
      </c>
      <c r="X29" s="48">
        <f t="shared" si="20"/>
        <v>0</v>
      </c>
      <c r="Y29" s="38">
        <f t="shared" si="6"/>
        <v>11206.628571428571</v>
      </c>
      <c r="Z29" s="43">
        <f t="shared" si="21"/>
        <v>285670.62857142859</v>
      </c>
      <c r="AA29" s="127">
        <f>IF($D$4="","",VLOOKUP($K29,'3-2.所得算出参照表'!K$5:L$10,2,TRUE))</f>
        <v>3600000</v>
      </c>
      <c r="AB29" s="128">
        <f>IF($AA29="",0,IF($AA29='3-2.所得算出参照表'!$B$5,'3-2.所得算出参照表'!$E$5,IF('5-1.併用メニュー（２年目）'!$AA29='3-2.所得算出参照表'!$B$6,'5-1.併用メニュー（２年目）'!$K29*'3-2.所得算出参照表'!$E$6+'3-2.所得算出参照表'!$G$6,IF('5-1.併用メニュー（２年目）'!$AA29='3-2.所得算出参照表'!$B$7,'5-1.併用メニュー（２年目）'!$K29*'3-2.所得算出参照表'!$E$7+'3-2.所得算出参照表'!$G$7,IF('5-1.併用メニュー（２年目）'!$AA29='3-2.所得算出参照表'!$B$8,'5-1.併用メニュー（２年目）'!$K29*'3-2.所得算出参照表'!$E$8+'3-2.所得算出参照表'!$G$8,IF('5-1.併用メニュー（２年目）'!$AA29='3-2.所得算出参照表'!$B$9,'5-1.併用メニュー（２年目）'!$K29*'3-2.所得算出参照表'!$E$9+'3-2.所得算出参照表'!$G$9,IF($AA29='3-2.所得算出参照表'!$B$10,'3-2.所得算出参照表'!$G$10)))))))</f>
        <v>640331.42857142852</v>
      </c>
      <c r="AC29" s="90">
        <f t="shared" si="7"/>
        <v>480000</v>
      </c>
      <c r="AD29" s="85">
        <f t="shared" si="8"/>
        <v>461000</v>
      </c>
      <c r="AE29" s="130">
        <f>VLOOKUP($AD29,'3-2.所得算出参照表'!$N$4:$O$11,2,TRUE)</f>
        <v>0.05</v>
      </c>
      <c r="AF29" s="85">
        <f>VLOOKUP($AD29,'3-2.所得算出参照表'!$P$4:$Q$11,2,TRUE)</f>
        <v>0</v>
      </c>
      <c r="AG29" s="85">
        <f t="shared" si="27"/>
        <v>23050</v>
      </c>
      <c r="AH29" s="85">
        <f>$AG29*'3-2.所得算出参照表'!$D$14</f>
        <v>484.05</v>
      </c>
      <c r="AI29" s="99">
        <f t="shared" si="28"/>
        <v>23500</v>
      </c>
      <c r="AJ29" s="107">
        <f>IF($AA29="",0,IF($AA29='3-2.所得算出参照表'!$B$5,'3-2.所得算出参照表'!$E$5,IF('5-1.併用メニュー（２年目）'!$AA29='3-2.所得算出参照表'!$B$6,'5-1.併用メニュー（２年目）'!$K29*'3-2.所得算出参照表'!$E$6+'3-2.所得算出参照表'!$G$6,IF('5-1.併用メニュー（２年目）'!$AA29='3-2.所得算出参照表'!$B$7,'5-1.併用メニュー（２年目）'!$K29*'3-2.所得算出参照表'!$E$7+'3-2.所得算出参照表'!$G$7,IF('5-1.併用メニュー（２年目）'!$AA29='3-2.所得算出参照表'!$B$8,'5-1.併用メニュー（２年目）'!$K29*'3-2.所得算出参照表'!$E$8+'3-2.所得算出参照表'!$G$8,IF('5-1.併用メニュー（２年目）'!$AA29='3-2.所得算出参照表'!$B$9,'5-1.併用メニュー（２年目）'!$K29*'3-2.所得算出参照表'!$E$9+'3-2.所得算出参照表'!$G$9,IF($AA29='3-2.所得算出参照表'!$B$10,'3-2.所得算出参照表'!$G$10)))))))</f>
        <v>640331.42857142852</v>
      </c>
      <c r="AK29" s="47">
        <f t="shared" si="9"/>
        <v>430000</v>
      </c>
      <c r="AL29" s="95">
        <f t="shared" si="10"/>
        <v>511000</v>
      </c>
      <c r="AM29" s="95">
        <f t="shared" si="11"/>
        <v>5500</v>
      </c>
      <c r="AN29" s="96">
        <f t="shared" si="12"/>
        <v>0.1</v>
      </c>
      <c r="AO29" s="103">
        <f t="shared" si="24"/>
        <v>54100</v>
      </c>
      <c r="AP29" s="120">
        <f t="shared" si="13"/>
        <v>1504500.8</v>
      </c>
    </row>
    <row r="30" spans="2:42" ht="21.95" customHeight="1" x14ac:dyDescent="0.15">
      <c r="B30" s="75">
        <v>16</v>
      </c>
      <c r="C30" s="472">
        <f t="shared" si="14"/>
        <v>1040</v>
      </c>
      <c r="D30" s="475">
        <f t="shared" si="15"/>
        <v>0</v>
      </c>
      <c r="E30" s="474">
        <f t="shared" si="16"/>
        <v>1040</v>
      </c>
      <c r="F30" s="431">
        <f t="shared" si="25"/>
        <v>15</v>
      </c>
      <c r="G30" s="60">
        <f t="shared" si="26"/>
        <v>35</v>
      </c>
      <c r="H30" s="174">
        <f t="shared" si="0"/>
        <v>1825</v>
      </c>
      <c r="I30" s="72">
        <f t="shared" si="1"/>
        <v>158166.66666666666</v>
      </c>
      <c r="J30" s="66">
        <f t="shared" si="17"/>
        <v>160166.66666666666</v>
      </c>
      <c r="K30" s="73">
        <f t="shared" si="2"/>
        <v>1922000</v>
      </c>
      <c r="L30" s="68">
        <f t="shared" si="18"/>
        <v>162166.66666666666</v>
      </c>
      <c r="M30" s="69">
        <f>IF($D$4="",0,IF($L30=0,0,VLOOKUP($L30,'3-1.標準報酬月額・保険料表'!$N$8:$O$57,2,TRUE)))</f>
        <v>160000</v>
      </c>
      <c r="N30" s="163">
        <f t="shared" si="3"/>
        <v>0</v>
      </c>
      <c r="O30" s="69">
        <f t="shared" si="4"/>
        <v>0</v>
      </c>
      <c r="P30" s="163">
        <f t="shared" si="5"/>
        <v>158166.66666666666</v>
      </c>
      <c r="Q30" s="36">
        <f>IF($D$4="",0,IF($G30&lt;20,0,IF($Q$13="",0,IF($Q$13=2,0,IF($P30&lt;$R$13,0,IF($M30&lt;=620000,VLOOKUP($M30,'3-1.標準報酬月額・保険料表'!$D$8:$L$42,9,FALSE),'3-1.標準報酬月額・保険料表'!$L$42)+ROUNDDOWN($O30*$W$7,0))))))</f>
        <v>14640</v>
      </c>
      <c r="R30" s="25">
        <f>IF($D$4="",0,IF($G30&lt;20,0,IF($O$9="",0,IF($Q$13=2,0,IF($D$10&gt;=$S$13,0,IF($P30&lt;$R$13,0,VLOOKUP($M30,'3-1.標準報酬月額・保険料表'!$D$8:$J$57,6,FALSE)+ROUNDDOWN($O30*$T$7,0)))))))</f>
        <v>8232</v>
      </c>
      <c r="S30" s="25">
        <f>IF($D$4="",0,IF($G30&lt;20,0,IF($Q$13="",0,IF($Q$13=2,0,IF($D$10&lt;$S$13,0,IF($P30&lt;$R$13,0,VLOOKUP($M30,'3-1.標準報酬月額・保険料表'!$D$8:$J$57,7,FALSE)+ROUNDDOWN($O30*$U$7,0)))))))</f>
        <v>0</v>
      </c>
      <c r="T30" s="41">
        <f t="shared" si="19"/>
        <v>22872</v>
      </c>
      <c r="U30" s="46">
        <f>IF($D$4="",0,IF($U$13="",0,IF($U$13=1,0,IF($G30&lt;$W$13,0,IF($K30&lt;$V$13,0,IF($M30&lt;=620000,VLOOKUP($M30,'3-1.標準報酬月額・保険料表'!$D$8:$L$42,9,FALSE),'3-1.標準報酬月額・保険料表'!$L$42)+ROUNDDOWN($O30*$W$7,0))))))</f>
        <v>0</v>
      </c>
      <c r="V30" s="47">
        <f>IF($D$4="",0,IF($U$13="",0,IF($U$13=1,0,IF($G30&lt;$W$13,0,IF($K30&lt;$V$13,0,IF($D$10&gt;=$X$13,0,VLOOKUP($M30,'3-1.標準報酬月額・保険料表'!$D$8:$J$57,6,FALSE)+ROUNDDOWN($O30*$T$7,0)))))))</f>
        <v>0</v>
      </c>
      <c r="W30" s="47">
        <f>IF($D$4="",0,IF($U$13="",0,IF($U$13=1,0,IF($G30&lt;$W$13,0,IF($K30&lt;$V$13,0,IF($D$10&lt;$X$13,0,VLOOKUP($M30,'3-1.標準報酬月額・保険料表'!$D$8:$J$57,7,FALSE)+ROUNDDOWN($O30*$U$7,0)))))))</f>
        <v>0</v>
      </c>
      <c r="X30" s="48">
        <f t="shared" si="20"/>
        <v>0</v>
      </c>
      <c r="Y30" s="38">
        <f t="shared" si="6"/>
        <v>11532</v>
      </c>
      <c r="Z30" s="43">
        <f t="shared" si="21"/>
        <v>285996</v>
      </c>
      <c r="AA30" s="127">
        <f>IF($D$4="","",VLOOKUP($K30,'3-2.所得算出参照表'!K$5:L$10,2,TRUE))</f>
        <v>3600000</v>
      </c>
      <c r="AB30" s="128">
        <f>IF($AA30="",0,IF($AA30='3-2.所得算出参照表'!$B$5,'3-2.所得算出参照表'!$E$5,IF('5-1.併用メニュー（２年目）'!$AA30='3-2.所得算出参照表'!$B$6,'5-1.併用メニュー（２年目）'!$K30*'3-2.所得算出参照表'!$E$6+'3-2.所得算出参照表'!$G$6,IF('5-1.併用メニュー（２年目）'!$AA30='3-2.所得算出参照表'!$B$7,'5-1.併用メニュー（２年目）'!$K30*'3-2.所得算出参照表'!$E$7+'3-2.所得算出参照表'!$G$7,IF('5-1.併用メニュー（２年目）'!$AA30='3-2.所得算出参照表'!$B$8,'5-1.併用メニュー（２年目）'!$K30*'3-2.所得算出参照表'!$E$8+'3-2.所得算出参照表'!$G$8,IF('5-1.併用メニュー（２年目）'!$AA30='3-2.所得算出参照表'!$B$9,'5-1.併用メニュー（２年目）'!$K30*'3-2.所得算出参照表'!$E$9+'3-2.所得算出参照表'!$G$9,IF($AA30='3-2.所得算出参照表'!$B$10,'3-2.所得算出参照表'!$G$10)))))))</f>
        <v>656600</v>
      </c>
      <c r="AC30" s="90">
        <f t="shared" si="7"/>
        <v>480000</v>
      </c>
      <c r="AD30" s="85">
        <f t="shared" si="8"/>
        <v>499000</v>
      </c>
      <c r="AE30" s="130">
        <f>VLOOKUP($AD30,'3-2.所得算出参照表'!$N$4:$O$11,2,TRUE)</f>
        <v>0.05</v>
      </c>
      <c r="AF30" s="85">
        <f>VLOOKUP($AD30,'3-2.所得算出参照表'!$P$4:$Q$11,2,TRUE)</f>
        <v>0</v>
      </c>
      <c r="AG30" s="85">
        <f t="shared" si="27"/>
        <v>24950</v>
      </c>
      <c r="AH30" s="85">
        <f>$AG30*'3-2.所得算出参照表'!$D$14</f>
        <v>523.95000000000005</v>
      </c>
      <c r="AI30" s="99">
        <f t="shared" si="28"/>
        <v>25400</v>
      </c>
      <c r="AJ30" s="107">
        <f>IF($AA30="",0,IF($AA30='3-2.所得算出参照表'!$B$5,'3-2.所得算出参照表'!$E$5,IF('5-1.併用メニュー（２年目）'!$AA30='3-2.所得算出参照表'!$B$6,'5-1.併用メニュー（２年目）'!$K30*'3-2.所得算出参照表'!$E$6+'3-2.所得算出参照表'!$G$6,IF('5-1.併用メニュー（２年目）'!$AA30='3-2.所得算出参照表'!$B$7,'5-1.併用メニュー（２年目）'!$K30*'3-2.所得算出参照表'!$E$7+'3-2.所得算出参照表'!$G$7,IF('5-1.併用メニュー（２年目）'!$AA30='3-2.所得算出参照表'!$B$8,'5-1.併用メニュー（２年目）'!$K30*'3-2.所得算出参照表'!$E$8+'3-2.所得算出参照表'!$G$8,IF('5-1.併用メニュー（２年目）'!$AA30='3-2.所得算出参照表'!$B$9,'5-1.併用メニュー（２年目）'!$K30*'3-2.所得算出参照表'!$E$9+'3-2.所得算出参照表'!$G$9,IF($AA30='3-2.所得算出参照表'!$B$10,'3-2.所得算出参照表'!$G$10)))))))</f>
        <v>656600</v>
      </c>
      <c r="AK30" s="47">
        <f t="shared" si="9"/>
        <v>430000</v>
      </c>
      <c r="AL30" s="95">
        <f t="shared" si="10"/>
        <v>549000</v>
      </c>
      <c r="AM30" s="95">
        <f t="shared" si="11"/>
        <v>5500</v>
      </c>
      <c r="AN30" s="96">
        <f t="shared" si="12"/>
        <v>0.1</v>
      </c>
      <c r="AO30" s="103">
        <f t="shared" si="24"/>
        <v>57900</v>
      </c>
      <c r="AP30" s="120">
        <f t="shared" si="13"/>
        <v>1552704</v>
      </c>
    </row>
    <row r="31" spans="2:42" ht="21.95" customHeight="1" x14ac:dyDescent="0.15">
      <c r="B31" s="76">
        <v>17</v>
      </c>
      <c r="C31" s="472" t="str">
        <f t="shared" si="14"/>
        <v/>
      </c>
      <c r="D31" s="475" t="str">
        <f t="shared" si="15"/>
        <v/>
      </c>
      <c r="E31" s="474" t="str">
        <f t="shared" si="16"/>
        <v/>
      </c>
      <c r="F31" s="431" t="str">
        <f t="shared" si="25"/>
        <v/>
      </c>
      <c r="G31" s="60" t="str">
        <f t="shared" si="26"/>
        <v/>
      </c>
      <c r="H31" s="174" t="str">
        <f t="shared" si="0"/>
        <v/>
      </c>
      <c r="I31" s="72">
        <f t="shared" si="1"/>
        <v>0</v>
      </c>
      <c r="J31" s="66">
        <f t="shared" si="17"/>
        <v>0</v>
      </c>
      <c r="K31" s="73">
        <f t="shared" si="2"/>
        <v>0</v>
      </c>
      <c r="L31" s="68">
        <f t="shared" si="18"/>
        <v>0</v>
      </c>
      <c r="M31" s="69">
        <f>IF($D$4="",0,IF($L31=0,0,VLOOKUP($L31,'3-1.標準報酬月額・保険料表'!$N$8:$O$57,2,TRUE)))</f>
        <v>0</v>
      </c>
      <c r="N31" s="163">
        <f t="shared" si="3"/>
        <v>0</v>
      </c>
      <c r="O31" s="69">
        <f t="shared" si="4"/>
        <v>0</v>
      </c>
      <c r="P31" s="163">
        <f t="shared" si="5"/>
        <v>0</v>
      </c>
      <c r="Q31" s="36">
        <f>IF($D$4="",0,IF($G31&lt;20,0,IF($Q$13="",0,IF($Q$13=2,0,IF($P31&lt;$R$13,0,IF($M31&lt;=620000,VLOOKUP($M31,'3-1.標準報酬月額・保険料表'!$D$8:$L$42,9,FALSE),'3-1.標準報酬月額・保険料表'!$L$42)+ROUNDDOWN($O31*$W$7,0))))))</f>
        <v>0</v>
      </c>
      <c r="R31" s="25">
        <f>IF($D$4="",0,IF($G31&lt;20,0,IF($O$9="",0,IF($Q$13=2,0,IF($D$10&gt;=$S$13,0,IF($P31&lt;$R$13,0,VLOOKUP($M31,'3-1.標準報酬月額・保険料表'!$D$8:$J$57,6,FALSE)+ROUNDDOWN($O31*$T$7,0)))))))</f>
        <v>0</v>
      </c>
      <c r="S31" s="25">
        <f>IF($D$4="",0,IF($G31&lt;20,0,IF($Q$13="",0,IF($Q$13=2,0,IF($D$10&lt;$S$13,0,IF($P31&lt;$R$13,0,VLOOKUP($M31,'3-1.標準報酬月額・保険料表'!$D$8:$J$57,7,FALSE)+ROUNDDOWN($O31*$U$7,0)))))))</f>
        <v>0</v>
      </c>
      <c r="T31" s="41">
        <f t="shared" si="19"/>
        <v>0</v>
      </c>
      <c r="U31" s="46">
        <f>IF($D$4="",0,IF($U$13="",0,IF($U$13=1,0,IF($G31&lt;$W$13,0,IF($K31&lt;$V$13,0,IF($M31&lt;=620000,VLOOKUP($M31,'3-1.標準報酬月額・保険料表'!$D$8:$L$42,9,FALSE),'3-1.標準報酬月額・保険料表'!$L$42)+ROUNDDOWN($O31*$W$7,0))))))</f>
        <v>0</v>
      </c>
      <c r="V31" s="47">
        <f>IF($D$4="",0,IF($U$13="",0,IF($U$13=1,0,IF($G31&lt;$W$13,0,IF($K31&lt;$V$13,0,IF($D$10&gt;=$X$13,0,VLOOKUP($M31,'3-1.標準報酬月額・保険料表'!$D$8:$J$57,6,FALSE)+ROUNDDOWN($O31*$T$7,0)))))))</f>
        <v>0</v>
      </c>
      <c r="W31" s="47">
        <f>IF($D$4="",0,IF($U$13="",0,IF($U$13=1,0,IF($G31&lt;$W$13,0,IF($K31&lt;$V$13,0,IF($D$10&lt;$X$13,0,VLOOKUP($M31,'3-1.標準報酬月額・保険料表'!$D$8:$J$57,7,FALSE)+ROUNDDOWN($O31*$U$7,0)))))))</f>
        <v>0</v>
      </c>
      <c r="X31" s="48">
        <f t="shared" si="20"/>
        <v>0</v>
      </c>
      <c r="Y31" s="38">
        <f t="shared" si="6"/>
        <v>0</v>
      </c>
      <c r="Z31" s="43">
        <f t="shared" si="21"/>
        <v>0</v>
      </c>
      <c r="AA31" s="127">
        <f>IF($D$4="","",VLOOKUP($K31,'3-2.所得算出参照表'!K$5:L$10,2,TRUE))</f>
        <v>1625000</v>
      </c>
      <c r="AB31" s="128">
        <f>IF($AA31="",0,IF($AA31='3-2.所得算出参照表'!$B$5,'3-2.所得算出参照表'!$E$5,IF('5-1.併用メニュー（２年目）'!$AA31='3-2.所得算出参照表'!$B$6,'5-1.併用メニュー（２年目）'!$K31*'3-2.所得算出参照表'!$E$6+'3-2.所得算出参照表'!$G$6,IF('5-1.併用メニュー（２年目）'!$AA31='3-2.所得算出参照表'!$B$7,'5-1.併用メニュー（２年目）'!$K31*'3-2.所得算出参照表'!$E$7+'3-2.所得算出参照表'!$G$7,IF('5-1.併用メニュー（２年目）'!$AA31='3-2.所得算出参照表'!$B$8,'5-1.併用メニュー（２年目）'!$K31*'3-2.所得算出参照表'!$E$8+'3-2.所得算出参照表'!$G$8,IF('5-1.併用メニュー（２年目）'!$AA31='3-2.所得算出参照表'!$B$9,'5-1.併用メニュー（２年目）'!$K31*'3-2.所得算出参照表'!$E$9+'3-2.所得算出参照表'!$G$9,IF($AA31='3-2.所得算出参照表'!$B$10,'3-2.所得算出参照表'!$G$10)))))))</f>
        <v>550000</v>
      </c>
      <c r="AC31" s="90">
        <f t="shared" si="7"/>
        <v>480000</v>
      </c>
      <c r="AD31" s="85">
        <f t="shared" si="8"/>
        <v>0</v>
      </c>
      <c r="AE31" s="130">
        <f>VLOOKUP($AD31,'3-2.所得算出参照表'!$N$4:$O$11,2,TRUE)</f>
        <v>0</v>
      </c>
      <c r="AF31" s="85">
        <f>VLOOKUP($AD31,'3-2.所得算出参照表'!$P$4:$Q$11,2,TRUE)</f>
        <v>0</v>
      </c>
      <c r="AG31" s="85">
        <f t="shared" si="27"/>
        <v>0</v>
      </c>
      <c r="AH31" s="85">
        <f>$AG31*'3-2.所得算出参照表'!$D$14</f>
        <v>0</v>
      </c>
      <c r="AI31" s="99">
        <f t="shared" si="28"/>
        <v>0</v>
      </c>
      <c r="AJ31" s="107">
        <f>IF($AA31="",0,IF($AA31='3-2.所得算出参照表'!$B$5,'3-2.所得算出参照表'!$E$5,IF('5-1.併用メニュー（２年目）'!$AA31='3-2.所得算出参照表'!$B$6,'5-1.併用メニュー（２年目）'!$K31*'3-2.所得算出参照表'!$E$6+'3-2.所得算出参照表'!$G$6,IF('5-1.併用メニュー（２年目）'!$AA31='3-2.所得算出参照表'!$B$7,'5-1.併用メニュー（２年目）'!$K31*'3-2.所得算出参照表'!$E$7+'3-2.所得算出参照表'!$G$7,IF('5-1.併用メニュー（２年目）'!$AA31='3-2.所得算出参照表'!$B$8,'5-1.併用メニュー（２年目）'!$K31*'3-2.所得算出参照表'!$E$8+'3-2.所得算出参照表'!$G$8,IF('5-1.併用メニュー（２年目）'!$AA31='3-2.所得算出参照表'!$B$9,'5-1.併用メニュー（２年目）'!$K31*'3-2.所得算出参照表'!$E$9+'3-2.所得算出参照表'!$G$9,IF($AA31='3-2.所得算出参照表'!$B$10,'3-2.所得算出参照表'!$G$10)))))))</f>
        <v>550000</v>
      </c>
      <c r="AK31" s="47">
        <f t="shared" si="9"/>
        <v>430000</v>
      </c>
      <c r="AL31" s="95">
        <f t="shared" si="10"/>
        <v>0</v>
      </c>
      <c r="AM31" s="95">
        <f t="shared" si="11"/>
        <v>0</v>
      </c>
      <c r="AN31" s="96">
        <f t="shared" si="12"/>
        <v>0</v>
      </c>
      <c r="AO31" s="103">
        <f t="shared" si="24"/>
        <v>0</v>
      </c>
      <c r="AP31" s="120">
        <f t="shared" si="13"/>
        <v>0</v>
      </c>
    </row>
    <row r="32" spans="2:42" ht="21.95" customHeight="1" x14ac:dyDescent="0.15">
      <c r="B32" s="76">
        <v>18</v>
      </c>
      <c r="C32" s="472" t="str">
        <f t="shared" si="14"/>
        <v/>
      </c>
      <c r="D32" s="475" t="str">
        <f t="shared" si="15"/>
        <v/>
      </c>
      <c r="E32" s="474" t="str">
        <f t="shared" si="16"/>
        <v/>
      </c>
      <c r="F32" s="431" t="str">
        <f t="shared" si="25"/>
        <v/>
      </c>
      <c r="G32" s="60" t="str">
        <f t="shared" si="26"/>
        <v/>
      </c>
      <c r="H32" s="174" t="str">
        <f t="shared" si="0"/>
        <v/>
      </c>
      <c r="I32" s="72">
        <f t="shared" si="1"/>
        <v>0</v>
      </c>
      <c r="J32" s="66">
        <f t="shared" si="17"/>
        <v>0</v>
      </c>
      <c r="K32" s="73">
        <f t="shared" si="2"/>
        <v>0</v>
      </c>
      <c r="L32" s="68">
        <f t="shared" si="18"/>
        <v>0</v>
      </c>
      <c r="M32" s="69">
        <f>IF($D$4="",0,IF($L32=0,0,VLOOKUP($L32,'3-1.標準報酬月額・保険料表'!$N$8:$O$57,2,TRUE)))</f>
        <v>0</v>
      </c>
      <c r="N32" s="163">
        <f t="shared" si="3"/>
        <v>0</v>
      </c>
      <c r="O32" s="69">
        <f t="shared" si="4"/>
        <v>0</v>
      </c>
      <c r="P32" s="163">
        <f t="shared" si="5"/>
        <v>0</v>
      </c>
      <c r="Q32" s="36">
        <f>IF($D$4="",0,IF($G32&lt;20,0,IF($Q$13="",0,IF($Q$13=2,0,IF($P32&lt;$R$13,0,IF($M32&lt;=620000,VLOOKUP($M32,'3-1.標準報酬月額・保険料表'!$D$8:$L$42,9,FALSE),'3-1.標準報酬月額・保険料表'!$L$42)+ROUNDDOWN($O32*$W$7,0))))))</f>
        <v>0</v>
      </c>
      <c r="R32" s="25">
        <f>IF($D$4="",0,IF($G32&lt;20,0,IF($O$9="",0,IF($Q$13=2,0,IF($D$10&gt;=$S$13,0,IF($P32&lt;$R$13,0,VLOOKUP($M32,'3-1.標準報酬月額・保険料表'!$D$8:$J$57,6,FALSE)+ROUNDDOWN($O32*$T$7,0)))))))</f>
        <v>0</v>
      </c>
      <c r="S32" s="25">
        <f>IF($D$4="",0,IF($G32&lt;20,0,IF($Q$13="",0,IF($Q$13=2,0,IF($D$10&lt;$S$13,0,IF($P32&lt;$R$13,0,VLOOKUP($M32,'3-1.標準報酬月額・保険料表'!$D$8:$J$57,7,FALSE)+ROUNDDOWN($O32*$U$7,0)))))))</f>
        <v>0</v>
      </c>
      <c r="T32" s="41">
        <f t="shared" si="19"/>
        <v>0</v>
      </c>
      <c r="U32" s="46">
        <f>IF($D$4="",0,IF($U$13="",0,IF($U$13=1,0,IF($G32&lt;$W$13,0,IF($K32&lt;$V$13,0,IF($M32&lt;=620000,VLOOKUP($M32,'3-1.標準報酬月額・保険料表'!$D$8:$L$42,9,FALSE),'3-1.標準報酬月額・保険料表'!$L$42)+ROUNDDOWN($O32*$W$7,0))))))</f>
        <v>0</v>
      </c>
      <c r="V32" s="47">
        <f>IF($D$4="",0,IF($U$13="",0,IF($U$13=1,0,IF($G32&lt;$W$13,0,IF($K32&lt;$V$13,0,IF($D$10&gt;=$X$13,0,VLOOKUP($M32,'3-1.標準報酬月額・保険料表'!$D$8:$J$57,6,FALSE)+ROUNDDOWN($O32*$T$7,0)))))))</f>
        <v>0</v>
      </c>
      <c r="W32" s="47">
        <f>IF($D$4="",0,IF($U$13="",0,IF($U$13=1,0,IF($G32&lt;$W$13,0,IF($K32&lt;$V$13,0,IF($D$10&lt;$X$13,0,VLOOKUP($M32,'3-1.標準報酬月額・保険料表'!$D$8:$J$57,7,FALSE)+ROUNDDOWN($O32*$U$7,0)))))))</f>
        <v>0</v>
      </c>
      <c r="X32" s="48">
        <f t="shared" si="20"/>
        <v>0</v>
      </c>
      <c r="Y32" s="38">
        <f t="shared" si="6"/>
        <v>0</v>
      </c>
      <c r="Z32" s="43">
        <f t="shared" si="21"/>
        <v>0</v>
      </c>
      <c r="AA32" s="127">
        <f>IF($D$4="","",VLOOKUP($K32,'3-2.所得算出参照表'!K$5:L$10,2,TRUE))</f>
        <v>1625000</v>
      </c>
      <c r="AB32" s="128">
        <f>IF($AA32="",0,IF($AA32='3-2.所得算出参照表'!$B$5,'3-2.所得算出参照表'!$E$5,IF('5-1.併用メニュー（２年目）'!$AA32='3-2.所得算出参照表'!$B$6,'5-1.併用メニュー（２年目）'!$K32*'3-2.所得算出参照表'!$E$6+'3-2.所得算出参照表'!$G$6,IF('5-1.併用メニュー（２年目）'!$AA32='3-2.所得算出参照表'!$B$7,'5-1.併用メニュー（２年目）'!$K32*'3-2.所得算出参照表'!$E$7+'3-2.所得算出参照表'!$G$7,IF('5-1.併用メニュー（２年目）'!$AA32='3-2.所得算出参照表'!$B$8,'5-1.併用メニュー（２年目）'!$K32*'3-2.所得算出参照表'!$E$8+'3-2.所得算出参照表'!$G$8,IF('5-1.併用メニュー（２年目）'!$AA32='3-2.所得算出参照表'!$B$9,'5-1.併用メニュー（２年目）'!$K32*'3-2.所得算出参照表'!$E$9+'3-2.所得算出参照表'!$G$9,IF($AA32='3-2.所得算出参照表'!$B$10,'3-2.所得算出参照表'!$G$10)))))))</f>
        <v>550000</v>
      </c>
      <c r="AC32" s="90">
        <f t="shared" si="7"/>
        <v>480000</v>
      </c>
      <c r="AD32" s="85">
        <f t="shared" si="8"/>
        <v>0</v>
      </c>
      <c r="AE32" s="130">
        <f>VLOOKUP($AD32,'3-2.所得算出参照表'!$N$4:$O$11,2,TRUE)</f>
        <v>0</v>
      </c>
      <c r="AF32" s="85">
        <f>VLOOKUP($AD32,'3-2.所得算出参照表'!$P$4:$Q$11,2,TRUE)</f>
        <v>0</v>
      </c>
      <c r="AG32" s="85">
        <f t="shared" si="27"/>
        <v>0</v>
      </c>
      <c r="AH32" s="85">
        <f>$AG32*'3-2.所得算出参照表'!$D$14</f>
        <v>0</v>
      </c>
      <c r="AI32" s="99">
        <f t="shared" si="28"/>
        <v>0</v>
      </c>
      <c r="AJ32" s="107">
        <f>IF($AA32="",0,IF($AA32='3-2.所得算出参照表'!$B$5,'3-2.所得算出参照表'!$E$5,IF('5-1.併用メニュー（２年目）'!$AA32='3-2.所得算出参照表'!$B$6,'5-1.併用メニュー（２年目）'!$K32*'3-2.所得算出参照表'!$E$6+'3-2.所得算出参照表'!$G$6,IF('5-1.併用メニュー（２年目）'!$AA32='3-2.所得算出参照表'!$B$7,'5-1.併用メニュー（２年目）'!$K32*'3-2.所得算出参照表'!$E$7+'3-2.所得算出参照表'!$G$7,IF('5-1.併用メニュー（２年目）'!$AA32='3-2.所得算出参照表'!$B$8,'5-1.併用メニュー（２年目）'!$K32*'3-2.所得算出参照表'!$E$8+'3-2.所得算出参照表'!$G$8,IF('5-1.併用メニュー（２年目）'!$AA32='3-2.所得算出参照表'!$B$9,'5-1.併用メニュー（２年目）'!$K32*'3-2.所得算出参照表'!$E$9+'3-2.所得算出参照表'!$G$9,IF($AA32='3-2.所得算出参照表'!$B$10,'3-2.所得算出参照表'!$G$10)))))))</f>
        <v>550000</v>
      </c>
      <c r="AK32" s="47">
        <f t="shared" si="9"/>
        <v>430000</v>
      </c>
      <c r="AL32" s="95">
        <f t="shared" si="10"/>
        <v>0</v>
      </c>
      <c r="AM32" s="95">
        <f t="shared" si="11"/>
        <v>0</v>
      </c>
      <c r="AN32" s="96">
        <f t="shared" si="12"/>
        <v>0</v>
      </c>
      <c r="AO32" s="103">
        <f t="shared" si="24"/>
        <v>0</v>
      </c>
      <c r="AP32" s="120">
        <f t="shared" si="13"/>
        <v>0</v>
      </c>
    </row>
    <row r="33" spans="2:42" ht="21.95" customHeight="1" x14ac:dyDescent="0.15">
      <c r="B33" s="76">
        <v>19</v>
      </c>
      <c r="C33" s="472" t="str">
        <f t="shared" si="14"/>
        <v/>
      </c>
      <c r="D33" s="475" t="str">
        <f t="shared" si="15"/>
        <v/>
      </c>
      <c r="E33" s="474" t="str">
        <f t="shared" si="16"/>
        <v/>
      </c>
      <c r="F33" s="431" t="str">
        <f t="shared" si="25"/>
        <v/>
      </c>
      <c r="G33" s="60" t="str">
        <f t="shared" si="26"/>
        <v/>
      </c>
      <c r="H33" s="174" t="str">
        <f t="shared" si="0"/>
        <v/>
      </c>
      <c r="I33" s="72">
        <f t="shared" si="1"/>
        <v>0</v>
      </c>
      <c r="J33" s="66">
        <f t="shared" si="17"/>
        <v>0</v>
      </c>
      <c r="K33" s="73">
        <f t="shared" si="2"/>
        <v>0</v>
      </c>
      <c r="L33" s="68">
        <f t="shared" si="18"/>
        <v>0</v>
      </c>
      <c r="M33" s="69">
        <f>IF($D$4="",0,IF($L33=0,0,VLOOKUP($L33,'3-1.標準報酬月額・保険料表'!$N$8:$O$57,2,TRUE)))</f>
        <v>0</v>
      </c>
      <c r="N33" s="163">
        <f t="shared" si="3"/>
        <v>0</v>
      </c>
      <c r="O33" s="69">
        <f t="shared" si="4"/>
        <v>0</v>
      </c>
      <c r="P33" s="163">
        <f t="shared" si="5"/>
        <v>0</v>
      </c>
      <c r="Q33" s="36">
        <f>IF($D$4="",0,IF($G33&lt;20,0,IF($Q$13="",0,IF($Q$13=2,0,IF($P33&lt;$R$13,0,IF($M33&lt;=620000,VLOOKUP($M33,'3-1.標準報酬月額・保険料表'!$D$8:$L$42,9,FALSE),'3-1.標準報酬月額・保険料表'!$L$42)+ROUNDDOWN($O33*$W$7,0))))))</f>
        <v>0</v>
      </c>
      <c r="R33" s="25">
        <f>IF($D$4="",0,IF($G33&lt;20,0,IF($O$9="",0,IF($Q$13=2,0,IF($D$10&gt;=$S$13,0,IF($P33&lt;$R$13,0,VLOOKUP($M33,'3-1.標準報酬月額・保険料表'!$D$8:$J$57,6,FALSE)+ROUNDDOWN($O33*$T$7,0)))))))</f>
        <v>0</v>
      </c>
      <c r="S33" s="25">
        <f>IF($D$4="",0,IF($G33&lt;20,0,IF($Q$13="",0,IF($Q$13=2,0,IF($D$10&lt;$S$13,0,IF($P33&lt;$R$13,0,VLOOKUP($M33,'3-1.標準報酬月額・保険料表'!$D$8:$J$57,7,FALSE)+ROUNDDOWN($O33*$U$7,0)))))))</f>
        <v>0</v>
      </c>
      <c r="T33" s="41">
        <f t="shared" si="19"/>
        <v>0</v>
      </c>
      <c r="U33" s="46">
        <f>IF($D$4="",0,IF($U$13="",0,IF($U$13=1,0,IF($G33&lt;$W$13,0,IF($K33&lt;$V$13,0,IF($M33&lt;=620000,VLOOKUP($M33,'3-1.標準報酬月額・保険料表'!$D$8:$L$42,9,FALSE),'3-1.標準報酬月額・保険料表'!$L$42)+ROUNDDOWN($O33*$W$7,0))))))</f>
        <v>0</v>
      </c>
      <c r="V33" s="47">
        <f>IF($D$4="",0,IF($U$13="",0,IF($U$13=1,0,IF($G33&lt;$W$13,0,IF($K33&lt;$V$13,0,IF($D$10&gt;=$X$13,0,VLOOKUP($M33,'3-1.標準報酬月額・保険料表'!$D$8:$J$57,6,FALSE)+ROUNDDOWN($O33*$T$7,0)))))))</f>
        <v>0</v>
      </c>
      <c r="W33" s="47">
        <f>IF($D$4="",0,IF($U$13="",0,IF($U$13=1,0,IF($G33&lt;$W$13,0,IF($K33&lt;$V$13,0,IF($D$10&lt;$X$13,0,VLOOKUP($M33,'3-1.標準報酬月額・保険料表'!$D$8:$J$57,7,FALSE)+ROUNDDOWN($O33*$U$7,0)))))))</f>
        <v>0</v>
      </c>
      <c r="X33" s="48">
        <f t="shared" si="20"/>
        <v>0</v>
      </c>
      <c r="Y33" s="38">
        <f t="shared" si="6"/>
        <v>0</v>
      </c>
      <c r="Z33" s="43">
        <f t="shared" si="21"/>
        <v>0</v>
      </c>
      <c r="AA33" s="127">
        <f>IF($D$4="","",VLOOKUP($K33,'3-2.所得算出参照表'!K$5:L$10,2,TRUE))</f>
        <v>1625000</v>
      </c>
      <c r="AB33" s="128">
        <f>IF($AA33="",0,IF($AA33='3-2.所得算出参照表'!$B$5,'3-2.所得算出参照表'!$E$5,IF('5-1.併用メニュー（２年目）'!$AA33='3-2.所得算出参照表'!$B$6,'5-1.併用メニュー（２年目）'!$K33*'3-2.所得算出参照表'!$E$6+'3-2.所得算出参照表'!$G$6,IF('5-1.併用メニュー（２年目）'!$AA33='3-2.所得算出参照表'!$B$7,'5-1.併用メニュー（２年目）'!$K33*'3-2.所得算出参照表'!$E$7+'3-2.所得算出参照表'!$G$7,IF('5-1.併用メニュー（２年目）'!$AA33='3-2.所得算出参照表'!$B$8,'5-1.併用メニュー（２年目）'!$K33*'3-2.所得算出参照表'!$E$8+'3-2.所得算出参照表'!$G$8,IF('5-1.併用メニュー（２年目）'!$AA33='3-2.所得算出参照表'!$B$9,'5-1.併用メニュー（２年目）'!$K33*'3-2.所得算出参照表'!$E$9+'3-2.所得算出参照表'!$G$9,IF($AA33='3-2.所得算出参照表'!$B$10,'3-2.所得算出参照表'!$G$10)))))))</f>
        <v>550000</v>
      </c>
      <c r="AC33" s="90">
        <f t="shared" si="7"/>
        <v>480000</v>
      </c>
      <c r="AD33" s="85">
        <f t="shared" si="8"/>
        <v>0</v>
      </c>
      <c r="AE33" s="130">
        <f>VLOOKUP($AD33,'3-2.所得算出参照表'!$N$4:$O$11,2,TRUE)</f>
        <v>0</v>
      </c>
      <c r="AF33" s="85">
        <f>VLOOKUP($AD33,'3-2.所得算出参照表'!$P$4:$Q$11,2,TRUE)</f>
        <v>0</v>
      </c>
      <c r="AG33" s="85">
        <f t="shared" si="27"/>
        <v>0</v>
      </c>
      <c r="AH33" s="85">
        <f>$AG33*'3-2.所得算出参照表'!$D$14</f>
        <v>0</v>
      </c>
      <c r="AI33" s="99">
        <f t="shared" si="28"/>
        <v>0</v>
      </c>
      <c r="AJ33" s="107">
        <f>IF($AA33="",0,IF($AA33='3-2.所得算出参照表'!$B$5,'3-2.所得算出参照表'!$E$5,IF('5-1.併用メニュー（２年目）'!$AA33='3-2.所得算出参照表'!$B$6,'5-1.併用メニュー（２年目）'!$K33*'3-2.所得算出参照表'!$E$6+'3-2.所得算出参照表'!$G$6,IF('5-1.併用メニュー（２年目）'!$AA33='3-2.所得算出参照表'!$B$7,'5-1.併用メニュー（２年目）'!$K33*'3-2.所得算出参照表'!$E$7+'3-2.所得算出参照表'!$G$7,IF('5-1.併用メニュー（２年目）'!$AA33='3-2.所得算出参照表'!$B$8,'5-1.併用メニュー（２年目）'!$K33*'3-2.所得算出参照表'!$E$8+'3-2.所得算出参照表'!$G$8,IF('5-1.併用メニュー（２年目）'!$AA33='3-2.所得算出参照表'!$B$9,'5-1.併用メニュー（２年目）'!$K33*'3-2.所得算出参照表'!$E$9+'3-2.所得算出参照表'!$G$9,IF($AA33='3-2.所得算出参照表'!$B$10,'3-2.所得算出参照表'!$G$10)))))))</f>
        <v>550000</v>
      </c>
      <c r="AK33" s="47">
        <f t="shared" si="9"/>
        <v>430000</v>
      </c>
      <c r="AL33" s="95">
        <f t="shared" si="10"/>
        <v>0</v>
      </c>
      <c r="AM33" s="95">
        <f t="shared" si="11"/>
        <v>0</v>
      </c>
      <c r="AN33" s="96">
        <f t="shared" si="12"/>
        <v>0</v>
      </c>
      <c r="AO33" s="103">
        <f t="shared" si="24"/>
        <v>0</v>
      </c>
      <c r="AP33" s="120">
        <f t="shared" si="13"/>
        <v>0</v>
      </c>
    </row>
    <row r="34" spans="2:42" ht="21.95" customHeight="1" x14ac:dyDescent="0.15">
      <c r="B34" s="75">
        <v>20</v>
      </c>
      <c r="C34" s="472" t="str">
        <f t="shared" si="14"/>
        <v/>
      </c>
      <c r="D34" s="475" t="str">
        <f t="shared" si="15"/>
        <v/>
      </c>
      <c r="E34" s="474" t="str">
        <f t="shared" si="16"/>
        <v/>
      </c>
      <c r="F34" s="431" t="str">
        <f t="shared" si="25"/>
        <v/>
      </c>
      <c r="G34" s="60" t="str">
        <f t="shared" si="26"/>
        <v/>
      </c>
      <c r="H34" s="174" t="str">
        <f t="shared" si="0"/>
        <v/>
      </c>
      <c r="I34" s="72">
        <f t="shared" si="1"/>
        <v>0</v>
      </c>
      <c r="J34" s="66">
        <f t="shared" si="17"/>
        <v>0</v>
      </c>
      <c r="K34" s="73">
        <f t="shared" si="2"/>
        <v>0</v>
      </c>
      <c r="L34" s="68">
        <f t="shared" si="18"/>
        <v>0</v>
      </c>
      <c r="M34" s="69">
        <f>IF($D$4="",0,IF($L34=0,0,VLOOKUP($L34,'3-1.標準報酬月額・保険料表'!$N$8:$O$57,2,TRUE)))</f>
        <v>0</v>
      </c>
      <c r="N34" s="163">
        <f t="shared" si="3"/>
        <v>0</v>
      </c>
      <c r="O34" s="69">
        <f t="shared" si="4"/>
        <v>0</v>
      </c>
      <c r="P34" s="163">
        <f t="shared" si="5"/>
        <v>0</v>
      </c>
      <c r="Q34" s="36">
        <f>IF($D$4="",0,IF($G34&lt;20,0,IF($Q$13="",0,IF($Q$13=2,0,IF($P34&lt;$R$13,0,IF($M34&lt;=620000,VLOOKUP($M34,'3-1.標準報酬月額・保険料表'!$D$8:$L$42,9,FALSE),'3-1.標準報酬月額・保険料表'!$L$42)+ROUNDDOWN($O34*$W$7,0))))))</f>
        <v>0</v>
      </c>
      <c r="R34" s="25">
        <f>IF($D$4="",0,IF($G34&lt;20,0,IF($O$9="",0,IF($Q$13=2,0,IF($D$10&gt;=$S$13,0,IF($P34&lt;$R$13,0,VLOOKUP($M34,'3-1.標準報酬月額・保険料表'!$D$8:$J$57,6,FALSE)+ROUNDDOWN($O34*$T$7,0)))))))</f>
        <v>0</v>
      </c>
      <c r="S34" s="25">
        <f>IF($D$4="",0,IF($G34&lt;20,0,IF($Q$13="",0,IF($Q$13=2,0,IF($D$10&lt;$S$13,0,IF($P34&lt;$R$13,0,VLOOKUP($M34,'3-1.標準報酬月額・保険料表'!$D$8:$J$57,7,FALSE)+ROUNDDOWN($O34*$U$7,0)))))))</f>
        <v>0</v>
      </c>
      <c r="T34" s="41">
        <f t="shared" si="19"/>
        <v>0</v>
      </c>
      <c r="U34" s="46">
        <f>IF($D$4="",0,IF($U$13="",0,IF($U$13=1,0,IF($G34&lt;$W$13,0,IF($K34&lt;$V$13,0,IF($M34&lt;=620000,VLOOKUP($M34,'3-1.標準報酬月額・保険料表'!$D$8:$L$42,9,FALSE),'3-1.標準報酬月額・保険料表'!$L$42)+ROUNDDOWN($O34*$W$7,0))))))</f>
        <v>0</v>
      </c>
      <c r="V34" s="47">
        <f>IF($D$4="",0,IF($U$13="",0,IF($U$13=1,0,IF($G34&lt;$W$13,0,IF($K34&lt;$V$13,0,IF($D$10&gt;=$X$13,0,VLOOKUP($M34,'3-1.標準報酬月額・保険料表'!$D$8:$J$57,6,FALSE)+ROUNDDOWN($O34*$T$7,0)))))))</f>
        <v>0</v>
      </c>
      <c r="W34" s="47">
        <f>IF($D$4="",0,IF($U$13="",0,IF($U$13=1,0,IF($G34&lt;$W$13,0,IF($K34&lt;$V$13,0,IF($D$10&lt;$X$13,0,VLOOKUP($M34,'3-1.標準報酬月額・保険料表'!$D$8:$J$57,7,FALSE)+ROUNDDOWN($O34*$U$7,0)))))))</f>
        <v>0</v>
      </c>
      <c r="X34" s="48">
        <f t="shared" si="20"/>
        <v>0</v>
      </c>
      <c r="Y34" s="38">
        <f t="shared" si="6"/>
        <v>0</v>
      </c>
      <c r="Z34" s="43">
        <f t="shared" si="21"/>
        <v>0</v>
      </c>
      <c r="AA34" s="127">
        <f>IF($D$4="","",VLOOKUP($K34,'3-2.所得算出参照表'!K$5:L$10,2,TRUE))</f>
        <v>1625000</v>
      </c>
      <c r="AB34" s="128">
        <f>IF($AA34="",0,IF($AA34='3-2.所得算出参照表'!$B$5,'3-2.所得算出参照表'!$E$5,IF('5-1.併用メニュー（２年目）'!$AA34='3-2.所得算出参照表'!$B$6,'5-1.併用メニュー（２年目）'!$K34*'3-2.所得算出参照表'!$E$6+'3-2.所得算出参照表'!$G$6,IF('5-1.併用メニュー（２年目）'!$AA34='3-2.所得算出参照表'!$B$7,'5-1.併用メニュー（２年目）'!$K34*'3-2.所得算出参照表'!$E$7+'3-2.所得算出参照表'!$G$7,IF('5-1.併用メニュー（２年目）'!$AA34='3-2.所得算出参照表'!$B$8,'5-1.併用メニュー（２年目）'!$K34*'3-2.所得算出参照表'!$E$8+'3-2.所得算出参照表'!$G$8,IF('5-1.併用メニュー（２年目）'!$AA34='3-2.所得算出参照表'!$B$9,'5-1.併用メニュー（２年目）'!$K34*'3-2.所得算出参照表'!$E$9+'3-2.所得算出参照表'!$G$9,IF($AA34='3-2.所得算出参照表'!$B$10,'3-2.所得算出参照表'!$G$10)))))))</f>
        <v>550000</v>
      </c>
      <c r="AC34" s="90">
        <f t="shared" si="7"/>
        <v>480000</v>
      </c>
      <c r="AD34" s="85">
        <f t="shared" si="8"/>
        <v>0</v>
      </c>
      <c r="AE34" s="130">
        <f>VLOOKUP($AD34,'3-2.所得算出参照表'!$N$4:$O$11,2,TRUE)</f>
        <v>0</v>
      </c>
      <c r="AF34" s="85">
        <f>VLOOKUP($AD34,'3-2.所得算出参照表'!$P$4:$Q$11,2,TRUE)</f>
        <v>0</v>
      </c>
      <c r="AG34" s="85">
        <f t="shared" si="27"/>
        <v>0</v>
      </c>
      <c r="AH34" s="85">
        <f>$AG34*'3-2.所得算出参照表'!$D$14</f>
        <v>0</v>
      </c>
      <c r="AI34" s="99">
        <f t="shared" si="28"/>
        <v>0</v>
      </c>
      <c r="AJ34" s="107">
        <f>IF($AA34="",0,IF($AA34='3-2.所得算出参照表'!$B$5,'3-2.所得算出参照表'!$E$5,IF('5-1.併用メニュー（２年目）'!$AA34='3-2.所得算出参照表'!$B$6,'5-1.併用メニュー（２年目）'!$K34*'3-2.所得算出参照表'!$E$6+'3-2.所得算出参照表'!$G$6,IF('5-1.併用メニュー（２年目）'!$AA34='3-2.所得算出参照表'!$B$7,'5-1.併用メニュー（２年目）'!$K34*'3-2.所得算出参照表'!$E$7+'3-2.所得算出参照表'!$G$7,IF('5-1.併用メニュー（２年目）'!$AA34='3-2.所得算出参照表'!$B$8,'5-1.併用メニュー（２年目）'!$K34*'3-2.所得算出参照表'!$E$8+'3-2.所得算出参照表'!$G$8,IF('5-1.併用メニュー（２年目）'!$AA34='3-2.所得算出参照表'!$B$9,'5-1.併用メニュー（２年目）'!$K34*'3-2.所得算出参照表'!$E$9+'3-2.所得算出参照表'!$G$9,IF($AA34='3-2.所得算出参照表'!$B$10,'3-2.所得算出参照表'!$G$10)))))))</f>
        <v>550000</v>
      </c>
      <c r="AK34" s="47">
        <f t="shared" si="9"/>
        <v>430000</v>
      </c>
      <c r="AL34" s="95">
        <f t="shared" si="10"/>
        <v>0</v>
      </c>
      <c r="AM34" s="95">
        <f t="shared" si="11"/>
        <v>0</v>
      </c>
      <c r="AN34" s="96">
        <f t="shared" si="12"/>
        <v>0</v>
      </c>
      <c r="AO34" s="103">
        <f t="shared" si="24"/>
        <v>0</v>
      </c>
      <c r="AP34" s="120">
        <f t="shared" si="13"/>
        <v>0</v>
      </c>
    </row>
    <row r="35" spans="2:42" ht="21.95" customHeight="1" x14ac:dyDescent="0.15">
      <c r="B35" s="76">
        <v>21</v>
      </c>
      <c r="C35" s="472" t="str">
        <f t="shared" si="14"/>
        <v/>
      </c>
      <c r="D35" s="475" t="str">
        <f t="shared" si="15"/>
        <v/>
      </c>
      <c r="E35" s="474" t="str">
        <f t="shared" si="16"/>
        <v/>
      </c>
      <c r="F35" s="431" t="str">
        <f t="shared" si="25"/>
        <v/>
      </c>
      <c r="G35" s="60" t="str">
        <f t="shared" si="26"/>
        <v/>
      </c>
      <c r="H35" s="174" t="str">
        <f t="shared" si="0"/>
        <v/>
      </c>
      <c r="I35" s="72">
        <f t="shared" si="1"/>
        <v>0</v>
      </c>
      <c r="J35" s="66">
        <f t="shared" si="17"/>
        <v>0</v>
      </c>
      <c r="K35" s="73">
        <f t="shared" si="2"/>
        <v>0</v>
      </c>
      <c r="L35" s="68">
        <f t="shared" si="18"/>
        <v>0</v>
      </c>
      <c r="M35" s="69">
        <f>IF($D$4="",0,IF($L35=0,0,VLOOKUP($L35,'3-1.標準報酬月額・保険料表'!$N$8:$O$57,2,TRUE)))</f>
        <v>0</v>
      </c>
      <c r="N35" s="163">
        <f t="shared" si="3"/>
        <v>0</v>
      </c>
      <c r="O35" s="69">
        <f t="shared" si="4"/>
        <v>0</v>
      </c>
      <c r="P35" s="163">
        <f t="shared" si="5"/>
        <v>0</v>
      </c>
      <c r="Q35" s="36">
        <f>IF($D$4="",0,IF($G35&lt;20,0,IF($Q$13="",0,IF($Q$13=2,0,IF($P35&lt;$R$13,0,IF($M35&lt;=620000,VLOOKUP($M35,'3-1.標準報酬月額・保険料表'!$D$8:$L$42,9,FALSE),'3-1.標準報酬月額・保険料表'!$L$42)+ROUNDDOWN($O35*$W$7,0))))))</f>
        <v>0</v>
      </c>
      <c r="R35" s="25">
        <f>IF($D$4="",0,IF($G35&lt;20,0,IF($O$9="",0,IF($Q$13=2,0,IF($D$10&gt;=$S$13,0,IF($P35&lt;$R$13,0,VLOOKUP($M35,'3-1.標準報酬月額・保険料表'!$D$8:$J$57,6,FALSE)+ROUNDDOWN($O35*$T$7,0)))))))</f>
        <v>0</v>
      </c>
      <c r="S35" s="25">
        <f>IF($D$4="",0,IF($G35&lt;20,0,IF($Q$13="",0,IF($Q$13=2,0,IF($D$10&lt;$S$13,0,IF($P35&lt;$R$13,0,VLOOKUP($M35,'3-1.標準報酬月額・保険料表'!$D$8:$J$57,7,FALSE)+ROUNDDOWN($O35*$U$7,0)))))))</f>
        <v>0</v>
      </c>
      <c r="T35" s="41">
        <f t="shared" si="19"/>
        <v>0</v>
      </c>
      <c r="U35" s="46">
        <f>IF($D$4="",0,IF($U$13="",0,IF($U$13=1,0,IF($G35&lt;$W$13,0,IF($K35&lt;$V$13,0,IF($M35&lt;=620000,VLOOKUP($M35,'3-1.標準報酬月額・保険料表'!$D$8:$L$42,9,FALSE),'3-1.標準報酬月額・保険料表'!$L$42)+ROUNDDOWN($O35*$W$7,0))))))</f>
        <v>0</v>
      </c>
      <c r="V35" s="47">
        <f>IF($D$4="",0,IF($U$13="",0,IF($U$13=1,0,IF($G35&lt;$W$13,0,IF($K35&lt;$V$13,0,IF($D$10&gt;=$X$13,0,VLOOKUP($M35,'3-1.標準報酬月額・保険料表'!$D$8:$J$57,6,FALSE)+ROUNDDOWN($O35*$T$7,0)))))))</f>
        <v>0</v>
      </c>
      <c r="W35" s="47">
        <f>IF($D$4="",0,IF($U$13="",0,IF($U$13=1,0,IF($G35&lt;$W$13,0,IF($K35&lt;$V$13,0,IF($D$10&lt;$X$13,0,VLOOKUP($M35,'3-1.標準報酬月額・保険料表'!$D$8:$J$57,7,FALSE)+ROUNDDOWN($O35*$U$7,0)))))))</f>
        <v>0</v>
      </c>
      <c r="X35" s="48">
        <f t="shared" si="20"/>
        <v>0</v>
      </c>
      <c r="Y35" s="38">
        <f t="shared" si="6"/>
        <v>0</v>
      </c>
      <c r="Z35" s="43">
        <f t="shared" si="21"/>
        <v>0</v>
      </c>
      <c r="AA35" s="127">
        <f>IF($D$4="","",VLOOKUP($K35,'3-2.所得算出参照表'!K$5:L$10,2,TRUE))</f>
        <v>1625000</v>
      </c>
      <c r="AB35" s="128">
        <f>IF($AA35="",0,IF($AA35='3-2.所得算出参照表'!$B$5,'3-2.所得算出参照表'!$E$5,IF('5-1.併用メニュー（２年目）'!$AA35='3-2.所得算出参照表'!$B$6,'5-1.併用メニュー（２年目）'!$K35*'3-2.所得算出参照表'!$E$6+'3-2.所得算出参照表'!$G$6,IF('5-1.併用メニュー（２年目）'!$AA35='3-2.所得算出参照表'!$B$7,'5-1.併用メニュー（２年目）'!$K35*'3-2.所得算出参照表'!$E$7+'3-2.所得算出参照表'!$G$7,IF('5-1.併用メニュー（２年目）'!$AA35='3-2.所得算出参照表'!$B$8,'5-1.併用メニュー（２年目）'!$K35*'3-2.所得算出参照表'!$E$8+'3-2.所得算出参照表'!$G$8,IF('5-1.併用メニュー（２年目）'!$AA35='3-2.所得算出参照表'!$B$9,'5-1.併用メニュー（２年目）'!$K35*'3-2.所得算出参照表'!$E$9+'3-2.所得算出参照表'!$G$9,IF($AA35='3-2.所得算出参照表'!$B$10,'3-2.所得算出参照表'!$G$10)))))))</f>
        <v>550000</v>
      </c>
      <c r="AC35" s="90">
        <f t="shared" si="7"/>
        <v>480000</v>
      </c>
      <c r="AD35" s="85">
        <f t="shared" si="8"/>
        <v>0</v>
      </c>
      <c r="AE35" s="130">
        <f>VLOOKUP($AD35,'3-2.所得算出参照表'!$N$4:$O$11,2,TRUE)</f>
        <v>0</v>
      </c>
      <c r="AF35" s="85">
        <f>VLOOKUP($AD35,'3-2.所得算出参照表'!$P$4:$Q$11,2,TRUE)</f>
        <v>0</v>
      </c>
      <c r="AG35" s="85">
        <f t="shared" si="27"/>
        <v>0</v>
      </c>
      <c r="AH35" s="85">
        <f>$AG35*'3-2.所得算出参照表'!$D$14</f>
        <v>0</v>
      </c>
      <c r="AI35" s="99">
        <f t="shared" si="28"/>
        <v>0</v>
      </c>
      <c r="AJ35" s="107">
        <f>IF($AA35="",0,IF($AA35='3-2.所得算出参照表'!$B$5,'3-2.所得算出参照表'!$E$5,IF('5-1.併用メニュー（２年目）'!$AA35='3-2.所得算出参照表'!$B$6,'5-1.併用メニュー（２年目）'!$K35*'3-2.所得算出参照表'!$E$6+'3-2.所得算出参照表'!$G$6,IF('5-1.併用メニュー（２年目）'!$AA35='3-2.所得算出参照表'!$B$7,'5-1.併用メニュー（２年目）'!$K35*'3-2.所得算出参照表'!$E$7+'3-2.所得算出参照表'!$G$7,IF('5-1.併用メニュー（２年目）'!$AA35='3-2.所得算出参照表'!$B$8,'5-1.併用メニュー（２年目）'!$K35*'3-2.所得算出参照表'!$E$8+'3-2.所得算出参照表'!$G$8,IF('5-1.併用メニュー（２年目）'!$AA35='3-2.所得算出参照表'!$B$9,'5-1.併用メニュー（２年目）'!$K35*'3-2.所得算出参照表'!$E$9+'3-2.所得算出参照表'!$G$9,IF($AA35='3-2.所得算出参照表'!$B$10,'3-2.所得算出参照表'!$G$10)))))))</f>
        <v>550000</v>
      </c>
      <c r="AK35" s="47">
        <f t="shared" si="9"/>
        <v>430000</v>
      </c>
      <c r="AL35" s="95">
        <f t="shared" si="10"/>
        <v>0</v>
      </c>
      <c r="AM35" s="95">
        <f t="shared" si="11"/>
        <v>0</v>
      </c>
      <c r="AN35" s="96">
        <f t="shared" si="12"/>
        <v>0</v>
      </c>
      <c r="AO35" s="103">
        <f t="shared" si="24"/>
        <v>0</v>
      </c>
      <c r="AP35" s="120">
        <f t="shared" si="13"/>
        <v>0</v>
      </c>
    </row>
    <row r="36" spans="2:42" ht="21.95" customHeight="1" x14ac:dyDescent="0.15">
      <c r="B36" s="76">
        <v>22</v>
      </c>
      <c r="C36" s="472" t="str">
        <f t="shared" si="14"/>
        <v/>
      </c>
      <c r="D36" s="475" t="str">
        <f t="shared" si="15"/>
        <v/>
      </c>
      <c r="E36" s="474" t="str">
        <f t="shared" si="16"/>
        <v/>
      </c>
      <c r="F36" s="431" t="str">
        <f t="shared" si="25"/>
        <v/>
      </c>
      <c r="G36" s="60" t="str">
        <f t="shared" si="26"/>
        <v/>
      </c>
      <c r="H36" s="174" t="str">
        <f t="shared" si="0"/>
        <v/>
      </c>
      <c r="I36" s="72">
        <f t="shared" si="1"/>
        <v>0</v>
      </c>
      <c r="J36" s="66">
        <f t="shared" si="17"/>
        <v>0</v>
      </c>
      <c r="K36" s="73">
        <f t="shared" si="2"/>
        <v>0</v>
      </c>
      <c r="L36" s="68">
        <f t="shared" si="18"/>
        <v>0</v>
      </c>
      <c r="M36" s="69">
        <f>IF($D$4="",0,IF($L36=0,0,VLOOKUP($L36,'3-1.標準報酬月額・保険料表'!$N$8:$O$57,2,TRUE)))</f>
        <v>0</v>
      </c>
      <c r="N36" s="163">
        <f t="shared" si="3"/>
        <v>0</v>
      </c>
      <c r="O36" s="69">
        <f t="shared" si="4"/>
        <v>0</v>
      </c>
      <c r="P36" s="163">
        <f t="shared" si="5"/>
        <v>0</v>
      </c>
      <c r="Q36" s="36">
        <f>IF($D$4="",0,IF($G36&lt;20,0,IF($Q$13="",0,IF($Q$13=2,0,IF($P36&lt;$R$13,0,IF($M36&lt;=620000,VLOOKUP($M36,'3-1.標準報酬月額・保険料表'!$D$8:$L$42,9,FALSE),'3-1.標準報酬月額・保険料表'!$L$42)+ROUNDDOWN($O36*$W$7,0))))))</f>
        <v>0</v>
      </c>
      <c r="R36" s="25">
        <f>IF($D$4="",0,IF($G36&lt;20,0,IF($O$9="",0,IF($Q$13=2,0,IF($D$10&gt;=$S$13,0,IF($P36&lt;$R$13,0,VLOOKUP($M36,'3-1.標準報酬月額・保険料表'!$D$8:$J$57,6,FALSE)+ROUNDDOWN($O36*$T$7,0)))))))</f>
        <v>0</v>
      </c>
      <c r="S36" s="25">
        <f>IF($D$4="",0,IF($G36&lt;20,0,IF($Q$13="",0,IF($Q$13=2,0,IF($D$10&lt;$S$13,0,IF($P36&lt;$R$13,0,VLOOKUP($M36,'3-1.標準報酬月額・保険料表'!$D$8:$J$57,7,FALSE)+ROUNDDOWN($O36*$U$7,0)))))))</f>
        <v>0</v>
      </c>
      <c r="T36" s="41">
        <f t="shared" si="19"/>
        <v>0</v>
      </c>
      <c r="U36" s="46">
        <f>IF($D$4="",0,IF($U$13="",0,IF($U$13=1,0,IF($G36&lt;$W$13,0,IF($K36&lt;$V$13,0,IF($M36&lt;=620000,VLOOKUP($M36,'3-1.標準報酬月額・保険料表'!$D$8:$L$42,9,FALSE),'3-1.標準報酬月額・保険料表'!$L$42)+ROUNDDOWN($O36*$W$7,0))))))</f>
        <v>0</v>
      </c>
      <c r="V36" s="47">
        <f>IF($D$4="",0,IF($U$13="",0,IF($U$13=1,0,IF($G36&lt;$W$13,0,IF($K36&lt;$V$13,0,IF($D$10&gt;=$X$13,0,VLOOKUP($M36,'3-1.標準報酬月額・保険料表'!$D$8:$J$57,6,FALSE)+ROUNDDOWN($O36*$T$7,0)))))))</f>
        <v>0</v>
      </c>
      <c r="W36" s="47">
        <f>IF($D$4="",0,IF($U$13="",0,IF($U$13=1,0,IF($G36&lt;$W$13,0,IF($K36&lt;$V$13,0,IF($D$10&lt;$X$13,0,VLOOKUP($M36,'3-1.標準報酬月額・保険料表'!$D$8:$J$57,7,FALSE)+ROUNDDOWN($O36*$U$7,0)))))))</f>
        <v>0</v>
      </c>
      <c r="X36" s="48">
        <f t="shared" si="20"/>
        <v>0</v>
      </c>
      <c r="Y36" s="38">
        <f t="shared" si="6"/>
        <v>0</v>
      </c>
      <c r="Z36" s="43">
        <f t="shared" si="21"/>
        <v>0</v>
      </c>
      <c r="AA36" s="127">
        <f>IF($D$4="","",VLOOKUP($K36,'3-2.所得算出参照表'!K$5:L$10,2,TRUE))</f>
        <v>1625000</v>
      </c>
      <c r="AB36" s="128">
        <f>IF($AA36="",0,IF($AA36='3-2.所得算出参照表'!$B$5,'3-2.所得算出参照表'!$E$5,IF('5-1.併用メニュー（２年目）'!$AA36='3-2.所得算出参照表'!$B$6,'5-1.併用メニュー（２年目）'!$K36*'3-2.所得算出参照表'!$E$6+'3-2.所得算出参照表'!$G$6,IF('5-1.併用メニュー（２年目）'!$AA36='3-2.所得算出参照表'!$B$7,'5-1.併用メニュー（２年目）'!$K36*'3-2.所得算出参照表'!$E$7+'3-2.所得算出参照表'!$G$7,IF('5-1.併用メニュー（２年目）'!$AA36='3-2.所得算出参照表'!$B$8,'5-1.併用メニュー（２年目）'!$K36*'3-2.所得算出参照表'!$E$8+'3-2.所得算出参照表'!$G$8,IF('5-1.併用メニュー（２年目）'!$AA36='3-2.所得算出参照表'!$B$9,'5-1.併用メニュー（２年目）'!$K36*'3-2.所得算出参照表'!$E$9+'3-2.所得算出参照表'!$G$9,IF($AA36='3-2.所得算出参照表'!$B$10,'3-2.所得算出参照表'!$G$10)))))))</f>
        <v>550000</v>
      </c>
      <c r="AC36" s="90">
        <f t="shared" si="7"/>
        <v>480000</v>
      </c>
      <c r="AD36" s="85">
        <f t="shared" si="8"/>
        <v>0</v>
      </c>
      <c r="AE36" s="130">
        <f>VLOOKUP($AD36,'3-2.所得算出参照表'!$N$4:$O$11,2,TRUE)</f>
        <v>0</v>
      </c>
      <c r="AF36" s="85">
        <f>VLOOKUP($AD36,'3-2.所得算出参照表'!$P$4:$Q$11,2,TRUE)</f>
        <v>0</v>
      </c>
      <c r="AG36" s="85">
        <f t="shared" si="27"/>
        <v>0</v>
      </c>
      <c r="AH36" s="85">
        <f>$AG36*'3-2.所得算出参照表'!$D$14</f>
        <v>0</v>
      </c>
      <c r="AI36" s="99">
        <f t="shared" si="28"/>
        <v>0</v>
      </c>
      <c r="AJ36" s="107">
        <f>IF($AA36="",0,IF($AA36='3-2.所得算出参照表'!$B$5,'3-2.所得算出参照表'!$E$5,IF('5-1.併用メニュー（２年目）'!$AA36='3-2.所得算出参照表'!$B$6,'5-1.併用メニュー（２年目）'!$K36*'3-2.所得算出参照表'!$E$6+'3-2.所得算出参照表'!$G$6,IF('5-1.併用メニュー（２年目）'!$AA36='3-2.所得算出参照表'!$B$7,'5-1.併用メニュー（２年目）'!$K36*'3-2.所得算出参照表'!$E$7+'3-2.所得算出参照表'!$G$7,IF('5-1.併用メニュー（２年目）'!$AA36='3-2.所得算出参照表'!$B$8,'5-1.併用メニュー（２年目）'!$K36*'3-2.所得算出参照表'!$E$8+'3-2.所得算出参照表'!$G$8,IF('5-1.併用メニュー（２年目）'!$AA36='3-2.所得算出参照表'!$B$9,'5-1.併用メニュー（２年目）'!$K36*'3-2.所得算出参照表'!$E$9+'3-2.所得算出参照表'!$G$9,IF($AA36='3-2.所得算出参照表'!$B$10,'3-2.所得算出参照表'!$G$10)))))))</f>
        <v>550000</v>
      </c>
      <c r="AK36" s="47">
        <f t="shared" si="9"/>
        <v>430000</v>
      </c>
      <c r="AL36" s="95">
        <f t="shared" si="10"/>
        <v>0</v>
      </c>
      <c r="AM36" s="95">
        <f t="shared" si="11"/>
        <v>0</v>
      </c>
      <c r="AN36" s="96">
        <f t="shared" si="12"/>
        <v>0</v>
      </c>
      <c r="AO36" s="103">
        <f t="shared" si="24"/>
        <v>0</v>
      </c>
      <c r="AP36" s="120">
        <f t="shared" si="13"/>
        <v>0</v>
      </c>
    </row>
    <row r="37" spans="2:42" ht="21.95" customHeight="1" x14ac:dyDescent="0.15">
      <c r="B37" s="76">
        <v>23</v>
      </c>
      <c r="C37" s="472" t="str">
        <f t="shared" si="14"/>
        <v/>
      </c>
      <c r="D37" s="475" t="str">
        <f t="shared" si="15"/>
        <v/>
      </c>
      <c r="E37" s="474" t="str">
        <f t="shared" si="16"/>
        <v/>
      </c>
      <c r="F37" s="431" t="str">
        <f t="shared" si="25"/>
        <v/>
      </c>
      <c r="G37" s="60" t="str">
        <f t="shared" si="26"/>
        <v/>
      </c>
      <c r="H37" s="174" t="str">
        <f t="shared" si="0"/>
        <v/>
      </c>
      <c r="I37" s="72">
        <f t="shared" si="1"/>
        <v>0</v>
      </c>
      <c r="J37" s="66">
        <f t="shared" si="17"/>
        <v>0</v>
      </c>
      <c r="K37" s="73">
        <f t="shared" si="2"/>
        <v>0</v>
      </c>
      <c r="L37" s="68">
        <f t="shared" si="18"/>
        <v>0</v>
      </c>
      <c r="M37" s="69">
        <f>IF($D$4="",0,IF($L37=0,0,VLOOKUP($L37,'3-1.標準報酬月額・保険料表'!$N$8:$O$57,2,TRUE)))</f>
        <v>0</v>
      </c>
      <c r="N37" s="163">
        <f t="shared" si="3"/>
        <v>0</v>
      </c>
      <c r="O37" s="69">
        <f t="shared" si="4"/>
        <v>0</v>
      </c>
      <c r="P37" s="163">
        <f t="shared" si="5"/>
        <v>0</v>
      </c>
      <c r="Q37" s="36">
        <f>IF($D$4="",0,IF($G37&lt;20,0,IF($Q$13="",0,IF($Q$13=2,0,IF($P37&lt;$R$13,0,IF($M37&lt;=620000,VLOOKUP($M37,'3-1.標準報酬月額・保険料表'!$D$8:$L$42,9,FALSE),'3-1.標準報酬月額・保険料表'!$L$42)+ROUNDDOWN($O37*$W$7,0))))))</f>
        <v>0</v>
      </c>
      <c r="R37" s="25">
        <f>IF($D$4="",0,IF($G37&lt;20,0,IF($O$9="",0,IF($Q$13=2,0,IF($D$10&gt;=$S$13,0,IF($P37&lt;$R$13,0,VLOOKUP($M37,'3-1.標準報酬月額・保険料表'!$D$8:$J$57,6,FALSE)+ROUNDDOWN($O37*$T$7,0)))))))</f>
        <v>0</v>
      </c>
      <c r="S37" s="25">
        <f>IF($D$4="",0,IF($G37&lt;20,0,IF($Q$13="",0,IF($Q$13=2,0,IF($D$10&lt;$S$13,0,IF($P37&lt;$R$13,0,VLOOKUP($M37,'3-1.標準報酬月額・保険料表'!$D$8:$J$57,7,FALSE)+ROUNDDOWN($O37*$U$7,0)))))))</f>
        <v>0</v>
      </c>
      <c r="T37" s="41">
        <f t="shared" si="19"/>
        <v>0</v>
      </c>
      <c r="U37" s="46">
        <f>IF($D$4="",0,IF($U$13="",0,IF($U$13=1,0,IF($G37&lt;$W$13,0,IF($K37&lt;$V$13,0,IF($M37&lt;=620000,VLOOKUP($M37,'3-1.標準報酬月額・保険料表'!$D$8:$L$42,9,FALSE),'3-1.標準報酬月額・保険料表'!$L$42)+ROUNDDOWN($O37*$W$7,0))))))</f>
        <v>0</v>
      </c>
      <c r="V37" s="47">
        <f>IF($D$4="",0,IF($U$13="",0,IF($U$13=1,0,IF($G37&lt;$W$13,0,IF($K37&lt;$V$13,0,IF($D$10&gt;=$X$13,0,VLOOKUP($M37,'3-1.標準報酬月額・保険料表'!$D$8:$J$57,6,FALSE)+ROUNDDOWN($O37*$T$7,0)))))))</f>
        <v>0</v>
      </c>
      <c r="W37" s="47">
        <f>IF($D$4="",0,IF($U$13="",0,IF($U$13=1,0,IF($G37&lt;$W$13,0,IF($K37&lt;$V$13,0,IF($D$10&lt;$X$13,0,VLOOKUP($M37,'3-1.標準報酬月額・保険料表'!$D$8:$J$57,7,FALSE)+ROUNDDOWN($O37*$U$7,0)))))))</f>
        <v>0</v>
      </c>
      <c r="X37" s="48">
        <f t="shared" si="20"/>
        <v>0</v>
      </c>
      <c r="Y37" s="38">
        <f t="shared" si="6"/>
        <v>0</v>
      </c>
      <c r="Z37" s="43">
        <f t="shared" si="21"/>
        <v>0</v>
      </c>
      <c r="AA37" s="127">
        <f>IF($D$4="","",VLOOKUP($K37,'3-2.所得算出参照表'!K$5:L$10,2,TRUE))</f>
        <v>1625000</v>
      </c>
      <c r="AB37" s="128">
        <f>IF($AA37="",0,IF($AA37='3-2.所得算出参照表'!$B$5,'3-2.所得算出参照表'!$E$5,IF('5-1.併用メニュー（２年目）'!$AA37='3-2.所得算出参照表'!$B$6,'5-1.併用メニュー（２年目）'!$K37*'3-2.所得算出参照表'!$E$6+'3-2.所得算出参照表'!$G$6,IF('5-1.併用メニュー（２年目）'!$AA37='3-2.所得算出参照表'!$B$7,'5-1.併用メニュー（２年目）'!$K37*'3-2.所得算出参照表'!$E$7+'3-2.所得算出参照表'!$G$7,IF('5-1.併用メニュー（２年目）'!$AA37='3-2.所得算出参照表'!$B$8,'5-1.併用メニュー（２年目）'!$K37*'3-2.所得算出参照表'!$E$8+'3-2.所得算出参照表'!$G$8,IF('5-1.併用メニュー（２年目）'!$AA37='3-2.所得算出参照表'!$B$9,'5-1.併用メニュー（２年目）'!$K37*'3-2.所得算出参照表'!$E$9+'3-2.所得算出参照表'!$G$9,IF($AA37='3-2.所得算出参照表'!$B$10,'3-2.所得算出参照表'!$G$10)))))))</f>
        <v>550000</v>
      </c>
      <c r="AC37" s="90">
        <f t="shared" si="7"/>
        <v>480000</v>
      </c>
      <c r="AD37" s="85">
        <f t="shared" si="8"/>
        <v>0</v>
      </c>
      <c r="AE37" s="130">
        <f>VLOOKUP($AD37,'3-2.所得算出参照表'!$N$4:$O$11,2,TRUE)</f>
        <v>0</v>
      </c>
      <c r="AF37" s="85">
        <f>VLOOKUP($AD37,'3-2.所得算出参照表'!$P$4:$Q$11,2,TRUE)</f>
        <v>0</v>
      </c>
      <c r="AG37" s="85">
        <f t="shared" si="27"/>
        <v>0</v>
      </c>
      <c r="AH37" s="85">
        <f>$AG37*'3-2.所得算出参照表'!$D$14</f>
        <v>0</v>
      </c>
      <c r="AI37" s="99">
        <f t="shared" si="28"/>
        <v>0</v>
      </c>
      <c r="AJ37" s="107">
        <f>IF($AA37="",0,IF($AA37='3-2.所得算出参照表'!$B$5,'3-2.所得算出参照表'!$E$5,IF('5-1.併用メニュー（２年目）'!$AA37='3-2.所得算出参照表'!$B$6,'5-1.併用メニュー（２年目）'!$K37*'3-2.所得算出参照表'!$E$6+'3-2.所得算出参照表'!$G$6,IF('5-1.併用メニュー（２年目）'!$AA37='3-2.所得算出参照表'!$B$7,'5-1.併用メニュー（２年目）'!$K37*'3-2.所得算出参照表'!$E$7+'3-2.所得算出参照表'!$G$7,IF('5-1.併用メニュー（２年目）'!$AA37='3-2.所得算出参照表'!$B$8,'5-1.併用メニュー（２年目）'!$K37*'3-2.所得算出参照表'!$E$8+'3-2.所得算出参照表'!$G$8,IF('5-1.併用メニュー（２年目）'!$AA37='3-2.所得算出参照表'!$B$9,'5-1.併用メニュー（２年目）'!$K37*'3-2.所得算出参照表'!$E$9+'3-2.所得算出参照表'!$G$9,IF($AA37='3-2.所得算出参照表'!$B$10,'3-2.所得算出参照表'!$G$10)))))))</f>
        <v>550000</v>
      </c>
      <c r="AK37" s="47">
        <f t="shared" si="9"/>
        <v>430000</v>
      </c>
      <c r="AL37" s="95">
        <f t="shared" si="10"/>
        <v>0</v>
      </c>
      <c r="AM37" s="95">
        <f t="shared" si="11"/>
        <v>0</v>
      </c>
      <c r="AN37" s="96">
        <f t="shared" si="12"/>
        <v>0</v>
      </c>
      <c r="AO37" s="103">
        <f t="shared" si="24"/>
        <v>0</v>
      </c>
      <c r="AP37" s="120">
        <f t="shared" si="13"/>
        <v>0</v>
      </c>
    </row>
    <row r="38" spans="2:42" ht="21.95" customHeight="1" x14ac:dyDescent="0.15">
      <c r="B38" s="75">
        <v>24</v>
      </c>
      <c r="C38" s="472" t="str">
        <f t="shared" si="14"/>
        <v/>
      </c>
      <c r="D38" s="475" t="str">
        <f t="shared" si="15"/>
        <v/>
      </c>
      <c r="E38" s="474" t="str">
        <f t="shared" si="16"/>
        <v/>
      </c>
      <c r="F38" s="431" t="str">
        <f t="shared" si="25"/>
        <v/>
      </c>
      <c r="G38" s="60" t="str">
        <f t="shared" si="26"/>
        <v/>
      </c>
      <c r="H38" s="174" t="str">
        <f t="shared" si="0"/>
        <v/>
      </c>
      <c r="I38" s="72">
        <f t="shared" si="1"/>
        <v>0</v>
      </c>
      <c r="J38" s="66">
        <f t="shared" si="17"/>
        <v>0</v>
      </c>
      <c r="K38" s="73">
        <f t="shared" si="2"/>
        <v>0</v>
      </c>
      <c r="L38" s="68">
        <f t="shared" si="18"/>
        <v>0</v>
      </c>
      <c r="M38" s="69">
        <f>IF($D$4="",0,IF($L38=0,0,VLOOKUP($L38,'3-1.標準報酬月額・保険料表'!$N$8:$O$57,2,TRUE)))</f>
        <v>0</v>
      </c>
      <c r="N38" s="163">
        <f t="shared" si="3"/>
        <v>0</v>
      </c>
      <c r="O38" s="69">
        <f t="shared" si="4"/>
        <v>0</v>
      </c>
      <c r="P38" s="163">
        <f t="shared" si="5"/>
        <v>0</v>
      </c>
      <c r="Q38" s="36">
        <f>IF($D$4="",0,IF($G38&lt;20,0,IF($Q$13="",0,IF($Q$13=2,0,IF($P38&lt;$R$13,0,IF($M38&lt;=620000,VLOOKUP($M38,'3-1.標準報酬月額・保険料表'!$D$8:$L$42,9,FALSE),'3-1.標準報酬月額・保険料表'!$L$42)+ROUNDDOWN($O38*$W$7,0))))))</f>
        <v>0</v>
      </c>
      <c r="R38" s="25">
        <f>IF($D$4="",0,IF($G38&lt;20,0,IF($O$9="",0,IF($Q$13=2,0,IF($D$10&gt;=$S$13,0,IF($P38&lt;$R$13,0,VLOOKUP($M38,'3-1.標準報酬月額・保険料表'!$D$8:$J$57,6,FALSE)+ROUNDDOWN($O38*$T$7,0)))))))</f>
        <v>0</v>
      </c>
      <c r="S38" s="25">
        <f>IF($D$4="",0,IF($G38&lt;20,0,IF($Q$13="",0,IF($Q$13=2,0,IF($D$10&lt;$S$13,0,IF($P38&lt;$R$13,0,VLOOKUP($M38,'3-1.標準報酬月額・保険料表'!$D$8:$J$57,7,FALSE)+ROUNDDOWN($O38*$U$7,0)))))))</f>
        <v>0</v>
      </c>
      <c r="T38" s="41">
        <f t="shared" si="19"/>
        <v>0</v>
      </c>
      <c r="U38" s="46">
        <f>IF($D$4="",0,IF($U$13="",0,IF($U$13=1,0,IF($G38&lt;$W$13,0,IF($K38&lt;$V$13,0,IF($M38&lt;=620000,VLOOKUP($M38,'3-1.標準報酬月額・保険料表'!$D$8:$L$42,9,FALSE),'3-1.標準報酬月額・保険料表'!$L$42)+ROUNDDOWN($O38*$W$7,0))))))</f>
        <v>0</v>
      </c>
      <c r="V38" s="47">
        <f>IF($D$4="",0,IF($U$13="",0,IF($U$13=1,0,IF($G38&lt;$W$13,0,IF($K38&lt;$V$13,0,IF($D$10&gt;=$X$13,0,VLOOKUP($M38,'3-1.標準報酬月額・保険料表'!$D$8:$J$57,6,FALSE)+ROUNDDOWN($O38*$T$7,0)))))))</f>
        <v>0</v>
      </c>
      <c r="W38" s="47">
        <f>IF($D$4="",0,IF($U$13="",0,IF($U$13=1,0,IF($G38&lt;$W$13,0,IF($K38&lt;$V$13,0,IF($D$10&lt;$X$13,0,VLOOKUP($M38,'3-1.標準報酬月額・保険料表'!$D$8:$J$57,7,FALSE)+ROUNDDOWN($O38*$U$7,0)))))))</f>
        <v>0</v>
      </c>
      <c r="X38" s="48">
        <f t="shared" si="20"/>
        <v>0</v>
      </c>
      <c r="Y38" s="38">
        <f t="shared" si="6"/>
        <v>0</v>
      </c>
      <c r="Z38" s="43">
        <f t="shared" si="21"/>
        <v>0</v>
      </c>
      <c r="AA38" s="127">
        <f>IF($D$4="","",VLOOKUP($K38,'3-2.所得算出参照表'!K$5:L$10,2,TRUE))</f>
        <v>1625000</v>
      </c>
      <c r="AB38" s="128">
        <f>IF($AA38="",0,IF($AA38='3-2.所得算出参照表'!$B$5,'3-2.所得算出参照表'!$E$5,IF('5-1.併用メニュー（２年目）'!$AA38='3-2.所得算出参照表'!$B$6,'5-1.併用メニュー（２年目）'!$K38*'3-2.所得算出参照表'!$E$6+'3-2.所得算出参照表'!$G$6,IF('5-1.併用メニュー（２年目）'!$AA38='3-2.所得算出参照表'!$B$7,'5-1.併用メニュー（２年目）'!$K38*'3-2.所得算出参照表'!$E$7+'3-2.所得算出参照表'!$G$7,IF('5-1.併用メニュー（２年目）'!$AA38='3-2.所得算出参照表'!$B$8,'5-1.併用メニュー（２年目）'!$K38*'3-2.所得算出参照表'!$E$8+'3-2.所得算出参照表'!$G$8,IF('5-1.併用メニュー（２年目）'!$AA38='3-2.所得算出参照表'!$B$9,'5-1.併用メニュー（２年目）'!$K38*'3-2.所得算出参照表'!$E$9+'3-2.所得算出参照表'!$G$9,IF($AA38='3-2.所得算出参照表'!$B$10,'3-2.所得算出参照表'!$G$10)))))))</f>
        <v>550000</v>
      </c>
      <c r="AC38" s="90">
        <f t="shared" si="7"/>
        <v>480000</v>
      </c>
      <c r="AD38" s="85">
        <f t="shared" si="8"/>
        <v>0</v>
      </c>
      <c r="AE38" s="130">
        <f>VLOOKUP($AD38,'3-2.所得算出参照表'!$N$4:$O$11,2,TRUE)</f>
        <v>0</v>
      </c>
      <c r="AF38" s="85">
        <f>VLOOKUP($AD38,'3-2.所得算出参照表'!$P$4:$Q$11,2,TRUE)</f>
        <v>0</v>
      </c>
      <c r="AG38" s="85">
        <f t="shared" si="27"/>
        <v>0</v>
      </c>
      <c r="AH38" s="85">
        <f>$AG38*'3-2.所得算出参照表'!$D$14</f>
        <v>0</v>
      </c>
      <c r="AI38" s="99">
        <f t="shared" si="28"/>
        <v>0</v>
      </c>
      <c r="AJ38" s="107">
        <f>IF($AA38="",0,IF($AA38='3-2.所得算出参照表'!$B$5,'3-2.所得算出参照表'!$E$5,IF('5-1.併用メニュー（２年目）'!$AA38='3-2.所得算出参照表'!$B$6,'5-1.併用メニュー（２年目）'!$K38*'3-2.所得算出参照表'!$E$6+'3-2.所得算出参照表'!$G$6,IF('5-1.併用メニュー（２年目）'!$AA38='3-2.所得算出参照表'!$B$7,'5-1.併用メニュー（２年目）'!$K38*'3-2.所得算出参照表'!$E$7+'3-2.所得算出参照表'!$G$7,IF('5-1.併用メニュー（２年目）'!$AA38='3-2.所得算出参照表'!$B$8,'5-1.併用メニュー（２年目）'!$K38*'3-2.所得算出参照表'!$E$8+'3-2.所得算出参照表'!$G$8,IF('5-1.併用メニュー（２年目）'!$AA38='3-2.所得算出参照表'!$B$9,'5-1.併用メニュー（２年目）'!$K38*'3-2.所得算出参照表'!$E$9+'3-2.所得算出参照表'!$G$9,IF($AA38='3-2.所得算出参照表'!$B$10,'3-2.所得算出参照表'!$G$10)))))))</f>
        <v>550000</v>
      </c>
      <c r="AK38" s="47">
        <f t="shared" si="9"/>
        <v>430000</v>
      </c>
      <c r="AL38" s="95">
        <f t="shared" si="10"/>
        <v>0</v>
      </c>
      <c r="AM38" s="95">
        <f t="shared" si="11"/>
        <v>0</v>
      </c>
      <c r="AN38" s="96">
        <f t="shared" si="12"/>
        <v>0</v>
      </c>
      <c r="AO38" s="103">
        <f t="shared" si="24"/>
        <v>0</v>
      </c>
      <c r="AP38" s="120">
        <f t="shared" si="13"/>
        <v>0</v>
      </c>
    </row>
    <row r="39" spans="2:42" ht="21.95" customHeight="1" x14ac:dyDescent="0.15">
      <c r="B39" s="76">
        <v>25</v>
      </c>
      <c r="C39" s="472" t="str">
        <f t="shared" si="14"/>
        <v/>
      </c>
      <c r="D39" s="475" t="str">
        <f t="shared" si="15"/>
        <v/>
      </c>
      <c r="E39" s="474" t="str">
        <f t="shared" si="16"/>
        <v/>
      </c>
      <c r="F39" s="431" t="str">
        <f t="shared" si="25"/>
        <v/>
      </c>
      <c r="G39" s="60" t="str">
        <f t="shared" si="26"/>
        <v/>
      </c>
      <c r="H39" s="174" t="str">
        <f t="shared" si="0"/>
        <v/>
      </c>
      <c r="I39" s="72">
        <f t="shared" si="1"/>
        <v>0</v>
      </c>
      <c r="J39" s="66">
        <f t="shared" si="17"/>
        <v>0</v>
      </c>
      <c r="K39" s="73">
        <f t="shared" si="2"/>
        <v>0</v>
      </c>
      <c r="L39" s="68">
        <f t="shared" si="18"/>
        <v>0</v>
      </c>
      <c r="M39" s="69">
        <f>IF($D$4="",0,IF($L39=0,0,VLOOKUP($L39,'3-1.標準報酬月額・保険料表'!$N$8:$O$57,2,TRUE)))</f>
        <v>0</v>
      </c>
      <c r="N39" s="163">
        <f t="shared" si="3"/>
        <v>0</v>
      </c>
      <c r="O39" s="69">
        <f t="shared" si="4"/>
        <v>0</v>
      </c>
      <c r="P39" s="163">
        <f t="shared" si="5"/>
        <v>0</v>
      </c>
      <c r="Q39" s="36">
        <f>IF($D$4="",0,IF($G39&lt;20,0,IF($Q$13="",0,IF($Q$13=2,0,IF($P39&lt;$R$13,0,IF($M39&lt;=620000,VLOOKUP($M39,'3-1.標準報酬月額・保険料表'!$D$8:$L$42,9,FALSE),'3-1.標準報酬月額・保険料表'!$L$42)+ROUNDDOWN($O39*$W$7,0))))))</f>
        <v>0</v>
      </c>
      <c r="R39" s="25">
        <f>IF($D$4="",0,IF($G39&lt;20,0,IF($O$9="",0,IF($Q$13=2,0,IF($D$10&gt;=$S$13,0,IF($P39&lt;$R$13,0,VLOOKUP($M39,'3-1.標準報酬月額・保険料表'!$D$8:$J$57,6,FALSE)+ROUNDDOWN($O39*$T$7,0)))))))</f>
        <v>0</v>
      </c>
      <c r="S39" s="25">
        <f>IF($D$4="",0,IF($G39&lt;20,0,IF($Q$13="",0,IF($Q$13=2,0,IF($D$10&lt;$S$13,0,IF($P39&lt;$R$13,0,VLOOKUP($M39,'3-1.標準報酬月額・保険料表'!$D$8:$J$57,7,FALSE)+ROUNDDOWN($O39*$U$7,0)))))))</f>
        <v>0</v>
      </c>
      <c r="T39" s="41">
        <f t="shared" si="19"/>
        <v>0</v>
      </c>
      <c r="U39" s="46">
        <f>IF($D$4="",0,IF($U$13="",0,IF($U$13=1,0,IF($G39&lt;$W$13,0,IF($K39&lt;$V$13,0,IF($M39&lt;=620000,VLOOKUP($M39,'3-1.標準報酬月額・保険料表'!$D$8:$L$42,9,FALSE),'3-1.標準報酬月額・保険料表'!$L$42)+ROUNDDOWN($O39*$W$7,0))))))</f>
        <v>0</v>
      </c>
      <c r="V39" s="47">
        <f>IF($D$4="",0,IF($U$13="",0,IF($U$13=1,0,IF($G39&lt;$W$13,0,IF($K39&lt;$V$13,0,IF($D$10&gt;=$X$13,0,VLOOKUP($M39,'3-1.標準報酬月額・保険料表'!$D$8:$J$57,6,FALSE)+ROUNDDOWN($O39*$T$7,0)))))))</f>
        <v>0</v>
      </c>
      <c r="W39" s="47">
        <f>IF($D$4="",0,IF($U$13="",0,IF($U$13=1,0,IF($G39&lt;$W$13,0,IF($K39&lt;$V$13,0,IF($D$10&lt;$X$13,0,VLOOKUP($M39,'3-1.標準報酬月額・保険料表'!$D$8:$J$57,7,FALSE)+ROUNDDOWN($O39*$U$7,0)))))))</f>
        <v>0</v>
      </c>
      <c r="X39" s="48">
        <f t="shared" si="20"/>
        <v>0</v>
      </c>
      <c r="Y39" s="38">
        <f t="shared" si="6"/>
        <v>0</v>
      </c>
      <c r="Z39" s="43">
        <f t="shared" si="21"/>
        <v>0</v>
      </c>
      <c r="AA39" s="127">
        <f>IF($D$4="","",VLOOKUP($K39,'3-2.所得算出参照表'!K$5:L$10,2,TRUE))</f>
        <v>1625000</v>
      </c>
      <c r="AB39" s="128">
        <f>IF($AA39="",0,IF($AA39='3-2.所得算出参照表'!$B$5,'3-2.所得算出参照表'!$E$5,IF('5-1.併用メニュー（２年目）'!$AA39='3-2.所得算出参照表'!$B$6,'5-1.併用メニュー（２年目）'!$K39*'3-2.所得算出参照表'!$E$6+'3-2.所得算出参照表'!$G$6,IF('5-1.併用メニュー（２年目）'!$AA39='3-2.所得算出参照表'!$B$7,'5-1.併用メニュー（２年目）'!$K39*'3-2.所得算出参照表'!$E$7+'3-2.所得算出参照表'!$G$7,IF('5-1.併用メニュー（２年目）'!$AA39='3-2.所得算出参照表'!$B$8,'5-1.併用メニュー（２年目）'!$K39*'3-2.所得算出参照表'!$E$8+'3-2.所得算出参照表'!$G$8,IF('5-1.併用メニュー（２年目）'!$AA39='3-2.所得算出参照表'!$B$9,'5-1.併用メニュー（２年目）'!$K39*'3-2.所得算出参照表'!$E$9+'3-2.所得算出参照表'!$G$9,IF($AA39='3-2.所得算出参照表'!$B$10,'3-2.所得算出参照表'!$G$10)))))))</f>
        <v>550000</v>
      </c>
      <c r="AC39" s="90">
        <f t="shared" si="7"/>
        <v>480000</v>
      </c>
      <c r="AD39" s="85">
        <f t="shared" si="8"/>
        <v>0</v>
      </c>
      <c r="AE39" s="130">
        <f>VLOOKUP($AD39,'3-2.所得算出参照表'!$N$4:$O$11,2,TRUE)</f>
        <v>0</v>
      </c>
      <c r="AF39" s="85">
        <f>VLOOKUP($AD39,'3-2.所得算出参照表'!$P$4:$Q$11,2,TRUE)</f>
        <v>0</v>
      </c>
      <c r="AG39" s="85">
        <f t="shared" si="27"/>
        <v>0</v>
      </c>
      <c r="AH39" s="85">
        <f>$AG39*'3-2.所得算出参照表'!$D$14</f>
        <v>0</v>
      </c>
      <c r="AI39" s="99">
        <f t="shared" si="28"/>
        <v>0</v>
      </c>
      <c r="AJ39" s="107">
        <f>IF($AA39="",0,IF($AA39='3-2.所得算出参照表'!$B$5,'3-2.所得算出参照表'!$E$5,IF('5-1.併用メニュー（２年目）'!$AA39='3-2.所得算出参照表'!$B$6,'5-1.併用メニュー（２年目）'!$K39*'3-2.所得算出参照表'!$E$6+'3-2.所得算出参照表'!$G$6,IF('5-1.併用メニュー（２年目）'!$AA39='3-2.所得算出参照表'!$B$7,'5-1.併用メニュー（２年目）'!$K39*'3-2.所得算出参照表'!$E$7+'3-2.所得算出参照表'!$G$7,IF('5-1.併用メニュー（２年目）'!$AA39='3-2.所得算出参照表'!$B$8,'5-1.併用メニュー（２年目）'!$K39*'3-2.所得算出参照表'!$E$8+'3-2.所得算出参照表'!$G$8,IF('5-1.併用メニュー（２年目）'!$AA39='3-2.所得算出参照表'!$B$9,'5-1.併用メニュー（２年目）'!$K39*'3-2.所得算出参照表'!$E$9+'3-2.所得算出参照表'!$G$9,IF($AA39='3-2.所得算出参照表'!$B$10,'3-2.所得算出参照表'!$G$10)))))))</f>
        <v>550000</v>
      </c>
      <c r="AK39" s="47">
        <f t="shared" si="9"/>
        <v>430000</v>
      </c>
      <c r="AL39" s="95">
        <f t="shared" si="10"/>
        <v>0</v>
      </c>
      <c r="AM39" s="95">
        <f t="shared" si="11"/>
        <v>0</v>
      </c>
      <c r="AN39" s="96">
        <f t="shared" si="12"/>
        <v>0</v>
      </c>
      <c r="AO39" s="103">
        <f t="shared" si="24"/>
        <v>0</v>
      </c>
      <c r="AP39" s="120">
        <f t="shared" si="13"/>
        <v>0</v>
      </c>
    </row>
    <row r="40" spans="2:42" ht="21.95" customHeight="1" x14ac:dyDescent="0.15">
      <c r="B40" s="76">
        <v>26</v>
      </c>
      <c r="C40" s="472" t="str">
        <f t="shared" si="14"/>
        <v/>
      </c>
      <c r="D40" s="475" t="str">
        <f t="shared" si="15"/>
        <v/>
      </c>
      <c r="E40" s="474" t="str">
        <f t="shared" si="16"/>
        <v/>
      </c>
      <c r="F40" s="431" t="str">
        <f t="shared" si="25"/>
        <v/>
      </c>
      <c r="G40" s="60" t="str">
        <f t="shared" si="26"/>
        <v/>
      </c>
      <c r="H40" s="174" t="str">
        <f t="shared" si="0"/>
        <v/>
      </c>
      <c r="I40" s="72">
        <f t="shared" si="1"/>
        <v>0</v>
      </c>
      <c r="J40" s="66">
        <f t="shared" si="17"/>
        <v>0</v>
      </c>
      <c r="K40" s="73">
        <f t="shared" si="2"/>
        <v>0</v>
      </c>
      <c r="L40" s="68">
        <f t="shared" si="18"/>
        <v>0</v>
      </c>
      <c r="M40" s="69">
        <f>IF($D$4="",0,IF($L40=0,0,VLOOKUP($L40,'3-1.標準報酬月額・保険料表'!$N$8:$O$57,2,TRUE)))</f>
        <v>0</v>
      </c>
      <c r="N40" s="163">
        <f t="shared" si="3"/>
        <v>0</v>
      </c>
      <c r="O40" s="69">
        <f t="shared" si="4"/>
        <v>0</v>
      </c>
      <c r="P40" s="163">
        <f t="shared" si="5"/>
        <v>0</v>
      </c>
      <c r="Q40" s="36">
        <f>IF($D$4="",0,IF($G40&lt;20,0,IF($Q$13="",0,IF($Q$13=2,0,IF($P40&lt;$R$13,0,IF($M40&lt;=620000,VLOOKUP($M40,'3-1.標準報酬月額・保険料表'!$D$8:$L$42,9,FALSE),'3-1.標準報酬月額・保険料表'!$L$42)+ROUNDDOWN($O40*$W$7,0))))))</f>
        <v>0</v>
      </c>
      <c r="R40" s="25">
        <f>IF($D$4="",0,IF($G40&lt;20,0,IF($O$9="",0,IF($Q$13=2,0,IF($D$10&gt;=$S$13,0,IF($P40&lt;$R$13,0,VLOOKUP($M40,'3-1.標準報酬月額・保険料表'!$D$8:$J$57,6,FALSE)+ROUNDDOWN($O40*$T$7,0)))))))</f>
        <v>0</v>
      </c>
      <c r="S40" s="25">
        <f>IF($D$4="",0,IF($G40&lt;20,0,IF($Q$13="",0,IF($Q$13=2,0,IF($D$10&lt;$S$13,0,IF($P40&lt;$R$13,0,VLOOKUP($M40,'3-1.標準報酬月額・保険料表'!$D$8:$J$57,7,FALSE)+ROUNDDOWN($O40*$U$7,0)))))))</f>
        <v>0</v>
      </c>
      <c r="T40" s="41">
        <f t="shared" si="19"/>
        <v>0</v>
      </c>
      <c r="U40" s="46">
        <f>IF($D$4="",0,IF($U$13="",0,IF($U$13=1,0,IF($G40&lt;$W$13,0,IF($K40&lt;$V$13,0,IF($M40&lt;=620000,VLOOKUP($M40,'3-1.標準報酬月額・保険料表'!$D$8:$L$42,9,FALSE),'3-1.標準報酬月額・保険料表'!$L$42)+ROUNDDOWN($O40*$W$7,0))))))</f>
        <v>0</v>
      </c>
      <c r="V40" s="47">
        <f>IF($D$4="",0,IF($U$13="",0,IF($U$13=1,0,IF($G40&lt;$W$13,0,IF($K40&lt;$V$13,0,IF($D$10&gt;=$X$13,0,VLOOKUP($M40,'3-1.標準報酬月額・保険料表'!$D$8:$J$57,6,FALSE)+ROUNDDOWN($O40*$T$7,0)))))))</f>
        <v>0</v>
      </c>
      <c r="W40" s="47">
        <f>IF($D$4="",0,IF($U$13="",0,IF($U$13=1,0,IF($G40&lt;$W$13,0,IF($K40&lt;$V$13,0,IF($D$10&lt;$X$13,0,VLOOKUP($M40,'3-1.標準報酬月額・保険料表'!$D$8:$J$57,7,FALSE)+ROUNDDOWN($O40*$U$7,0)))))))</f>
        <v>0</v>
      </c>
      <c r="X40" s="48">
        <f t="shared" si="20"/>
        <v>0</v>
      </c>
      <c r="Y40" s="38">
        <f t="shared" si="6"/>
        <v>0</v>
      </c>
      <c r="Z40" s="43">
        <f t="shared" si="21"/>
        <v>0</v>
      </c>
      <c r="AA40" s="127">
        <f>IF($D$4="","",VLOOKUP($K40,'3-2.所得算出参照表'!K$5:L$10,2,TRUE))</f>
        <v>1625000</v>
      </c>
      <c r="AB40" s="128">
        <f>IF($AA40="",0,IF($AA40='3-2.所得算出参照表'!$B$5,'3-2.所得算出参照表'!$E$5,IF('5-1.併用メニュー（２年目）'!$AA40='3-2.所得算出参照表'!$B$6,'5-1.併用メニュー（２年目）'!$K40*'3-2.所得算出参照表'!$E$6+'3-2.所得算出参照表'!$G$6,IF('5-1.併用メニュー（２年目）'!$AA40='3-2.所得算出参照表'!$B$7,'5-1.併用メニュー（２年目）'!$K40*'3-2.所得算出参照表'!$E$7+'3-2.所得算出参照表'!$G$7,IF('5-1.併用メニュー（２年目）'!$AA40='3-2.所得算出参照表'!$B$8,'5-1.併用メニュー（２年目）'!$K40*'3-2.所得算出参照表'!$E$8+'3-2.所得算出参照表'!$G$8,IF('5-1.併用メニュー（２年目）'!$AA40='3-2.所得算出参照表'!$B$9,'5-1.併用メニュー（２年目）'!$K40*'3-2.所得算出参照表'!$E$9+'3-2.所得算出参照表'!$G$9,IF($AA40='3-2.所得算出参照表'!$B$10,'3-2.所得算出参照表'!$G$10)))))))</f>
        <v>550000</v>
      </c>
      <c r="AC40" s="90">
        <f t="shared" si="7"/>
        <v>480000</v>
      </c>
      <c r="AD40" s="85">
        <f t="shared" si="8"/>
        <v>0</v>
      </c>
      <c r="AE40" s="130">
        <f>VLOOKUP($AD40,'3-2.所得算出参照表'!$N$4:$O$11,2,TRUE)</f>
        <v>0</v>
      </c>
      <c r="AF40" s="85">
        <f>VLOOKUP($AD40,'3-2.所得算出参照表'!$P$4:$Q$11,2,TRUE)</f>
        <v>0</v>
      </c>
      <c r="AG40" s="85">
        <f t="shared" si="27"/>
        <v>0</v>
      </c>
      <c r="AH40" s="85">
        <f>$AG40*'3-2.所得算出参照表'!$D$14</f>
        <v>0</v>
      </c>
      <c r="AI40" s="99">
        <f t="shared" si="28"/>
        <v>0</v>
      </c>
      <c r="AJ40" s="107">
        <f>IF($AA40="",0,IF($AA40='3-2.所得算出参照表'!$B$5,'3-2.所得算出参照表'!$E$5,IF('5-1.併用メニュー（２年目）'!$AA40='3-2.所得算出参照表'!$B$6,'5-1.併用メニュー（２年目）'!$K40*'3-2.所得算出参照表'!$E$6+'3-2.所得算出参照表'!$G$6,IF('5-1.併用メニュー（２年目）'!$AA40='3-2.所得算出参照表'!$B$7,'5-1.併用メニュー（２年目）'!$K40*'3-2.所得算出参照表'!$E$7+'3-2.所得算出参照表'!$G$7,IF('5-1.併用メニュー（２年目）'!$AA40='3-2.所得算出参照表'!$B$8,'5-1.併用メニュー（２年目）'!$K40*'3-2.所得算出参照表'!$E$8+'3-2.所得算出参照表'!$G$8,IF('5-1.併用メニュー（２年目）'!$AA40='3-2.所得算出参照表'!$B$9,'5-1.併用メニュー（２年目）'!$K40*'3-2.所得算出参照表'!$E$9+'3-2.所得算出参照表'!$G$9,IF($AA40='3-2.所得算出参照表'!$B$10,'3-2.所得算出参照表'!$G$10)))))))</f>
        <v>550000</v>
      </c>
      <c r="AK40" s="47">
        <f t="shared" si="9"/>
        <v>430000</v>
      </c>
      <c r="AL40" s="95">
        <f t="shared" si="10"/>
        <v>0</v>
      </c>
      <c r="AM40" s="95">
        <f t="shared" si="11"/>
        <v>0</v>
      </c>
      <c r="AN40" s="96">
        <f t="shared" si="12"/>
        <v>0</v>
      </c>
      <c r="AO40" s="103">
        <f t="shared" si="24"/>
        <v>0</v>
      </c>
      <c r="AP40" s="120">
        <f t="shared" si="13"/>
        <v>0</v>
      </c>
    </row>
    <row r="41" spans="2:42" ht="21.95" customHeight="1" x14ac:dyDescent="0.15">
      <c r="B41" s="76">
        <v>27</v>
      </c>
      <c r="C41" s="472" t="str">
        <f t="shared" si="14"/>
        <v/>
      </c>
      <c r="D41" s="475" t="str">
        <f t="shared" si="15"/>
        <v/>
      </c>
      <c r="E41" s="474" t="str">
        <f t="shared" si="16"/>
        <v/>
      </c>
      <c r="F41" s="431" t="str">
        <f t="shared" si="25"/>
        <v/>
      </c>
      <c r="G41" s="60" t="str">
        <f t="shared" si="26"/>
        <v/>
      </c>
      <c r="H41" s="174" t="str">
        <f t="shared" si="0"/>
        <v/>
      </c>
      <c r="I41" s="72">
        <f t="shared" si="1"/>
        <v>0</v>
      </c>
      <c r="J41" s="66">
        <f t="shared" si="17"/>
        <v>0</v>
      </c>
      <c r="K41" s="73">
        <f t="shared" si="2"/>
        <v>0</v>
      </c>
      <c r="L41" s="68">
        <f t="shared" si="18"/>
        <v>0</v>
      </c>
      <c r="M41" s="69">
        <f>IF($D$4="",0,IF($L41=0,0,VLOOKUP($L41,'3-1.標準報酬月額・保険料表'!$N$8:$O$57,2,TRUE)))</f>
        <v>0</v>
      </c>
      <c r="N41" s="163">
        <f t="shared" si="3"/>
        <v>0</v>
      </c>
      <c r="O41" s="69">
        <f t="shared" si="4"/>
        <v>0</v>
      </c>
      <c r="P41" s="163">
        <f t="shared" si="5"/>
        <v>0</v>
      </c>
      <c r="Q41" s="36">
        <f>IF($D$4="",0,IF($G41&lt;20,0,IF($Q$13="",0,IF($Q$13=2,0,IF($P41&lt;$R$13,0,IF($M41&lt;=620000,VLOOKUP($M41,'3-1.標準報酬月額・保険料表'!$D$8:$L$42,9,FALSE),'3-1.標準報酬月額・保険料表'!$L$42)+ROUNDDOWN($O41*$W$7,0))))))</f>
        <v>0</v>
      </c>
      <c r="R41" s="25">
        <f>IF($D$4="",0,IF($G41&lt;20,0,IF($O$9="",0,IF($Q$13=2,0,IF($D$10&gt;=$S$13,0,IF($P41&lt;$R$13,0,VLOOKUP($M41,'3-1.標準報酬月額・保険料表'!$D$8:$J$57,6,FALSE)+ROUNDDOWN($O41*$T$7,0)))))))</f>
        <v>0</v>
      </c>
      <c r="S41" s="25">
        <f>IF($D$4="",0,IF($G41&lt;20,0,IF($Q$13="",0,IF($Q$13=2,0,IF($D$10&lt;$S$13,0,IF($P41&lt;$R$13,0,VLOOKUP($M41,'3-1.標準報酬月額・保険料表'!$D$8:$J$57,7,FALSE)+ROUNDDOWN($O41*$U$7,0)))))))</f>
        <v>0</v>
      </c>
      <c r="T41" s="41">
        <f t="shared" si="19"/>
        <v>0</v>
      </c>
      <c r="U41" s="46">
        <f>IF($D$4="",0,IF($U$13="",0,IF($U$13=1,0,IF($G41&lt;$W$13,0,IF($K41&lt;$V$13,0,IF($M41&lt;=620000,VLOOKUP($M41,'3-1.標準報酬月額・保険料表'!$D$8:$L$42,9,FALSE),'3-1.標準報酬月額・保険料表'!$L$42)+ROUNDDOWN($O41*$W$7,0))))))</f>
        <v>0</v>
      </c>
      <c r="V41" s="47">
        <f>IF($D$4="",0,IF($U$13="",0,IF($U$13=1,0,IF($G41&lt;$W$13,0,IF($K41&lt;$V$13,0,IF($D$10&gt;=$X$13,0,VLOOKUP($M41,'3-1.標準報酬月額・保険料表'!$D$8:$J$57,6,FALSE)+ROUNDDOWN($O41*$T$7,0)))))))</f>
        <v>0</v>
      </c>
      <c r="W41" s="47">
        <f>IF($D$4="",0,IF($U$13="",0,IF($U$13=1,0,IF($G41&lt;$W$13,0,IF($K41&lt;$V$13,0,IF($D$10&lt;$X$13,0,VLOOKUP($M41,'3-1.標準報酬月額・保険料表'!$D$8:$J$57,7,FALSE)+ROUNDDOWN($O41*$U$7,0)))))))</f>
        <v>0</v>
      </c>
      <c r="X41" s="48">
        <f t="shared" si="20"/>
        <v>0</v>
      </c>
      <c r="Y41" s="38">
        <f t="shared" si="6"/>
        <v>0</v>
      </c>
      <c r="Z41" s="43">
        <f t="shared" si="21"/>
        <v>0</v>
      </c>
      <c r="AA41" s="127">
        <f>IF($D$4="","",VLOOKUP($K41,'3-2.所得算出参照表'!K$5:L$10,2,TRUE))</f>
        <v>1625000</v>
      </c>
      <c r="AB41" s="128">
        <f>IF($AA41="",0,IF($AA41='3-2.所得算出参照表'!$B$5,'3-2.所得算出参照表'!$E$5,IF('5-1.併用メニュー（２年目）'!$AA41='3-2.所得算出参照表'!$B$6,'5-1.併用メニュー（２年目）'!$K41*'3-2.所得算出参照表'!$E$6+'3-2.所得算出参照表'!$G$6,IF('5-1.併用メニュー（２年目）'!$AA41='3-2.所得算出参照表'!$B$7,'5-1.併用メニュー（２年目）'!$K41*'3-2.所得算出参照表'!$E$7+'3-2.所得算出参照表'!$G$7,IF('5-1.併用メニュー（２年目）'!$AA41='3-2.所得算出参照表'!$B$8,'5-1.併用メニュー（２年目）'!$K41*'3-2.所得算出参照表'!$E$8+'3-2.所得算出参照表'!$G$8,IF('5-1.併用メニュー（２年目）'!$AA41='3-2.所得算出参照表'!$B$9,'5-1.併用メニュー（２年目）'!$K41*'3-2.所得算出参照表'!$E$9+'3-2.所得算出参照表'!$G$9,IF($AA41='3-2.所得算出参照表'!$B$10,'3-2.所得算出参照表'!$G$10)))))))</f>
        <v>550000</v>
      </c>
      <c r="AC41" s="90">
        <f t="shared" si="7"/>
        <v>480000</v>
      </c>
      <c r="AD41" s="85">
        <f t="shared" si="8"/>
        <v>0</v>
      </c>
      <c r="AE41" s="130">
        <f>VLOOKUP($AD41,'3-2.所得算出参照表'!$N$4:$O$11,2,TRUE)</f>
        <v>0</v>
      </c>
      <c r="AF41" s="85">
        <f>VLOOKUP($AD41,'3-2.所得算出参照表'!$P$4:$Q$11,2,TRUE)</f>
        <v>0</v>
      </c>
      <c r="AG41" s="85">
        <f t="shared" si="27"/>
        <v>0</v>
      </c>
      <c r="AH41" s="85">
        <f>$AG41*'3-2.所得算出参照表'!$D$14</f>
        <v>0</v>
      </c>
      <c r="AI41" s="99">
        <f t="shared" si="28"/>
        <v>0</v>
      </c>
      <c r="AJ41" s="107">
        <f>IF($AA41="",0,IF($AA41='3-2.所得算出参照表'!$B$5,'3-2.所得算出参照表'!$E$5,IF('5-1.併用メニュー（２年目）'!$AA41='3-2.所得算出参照表'!$B$6,'5-1.併用メニュー（２年目）'!$K41*'3-2.所得算出参照表'!$E$6+'3-2.所得算出参照表'!$G$6,IF('5-1.併用メニュー（２年目）'!$AA41='3-2.所得算出参照表'!$B$7,'5-1.併用メニュー（２年目）'!$K41*'3-2.所得算出参照表'!$E$7+'3-2.所得算出参照表'!$G$7,IF('5-1.併用メニュー（２年目）'!$AA41='3-2.所得算出参照表'!$B$8,'5-1.併用メニュー（２年目）'!$K41*'3-2.所得算出参照表'!$E$8+'3-2.所得算出参照表'!$G$8,IF('5-1.併用メニュー（２年目）'!$AA41='3-2.所得算出参照表'!$B$9,'5-1.併用メニュー（２年目）'!$K41*'3-2.所得算出参照表'!$E$9+'3-2.所得算出参照表'!$G$9,IF($AA41='3-2.所得算出参照表'!$B$10,'3-2.所得算出参照表'!$G$10)))))))</f>
        <v>550000</v>
      </c>
      <c r="AK41" s="47">
        <f t="shared" si="9"/>
        <v>430000</v>
      </c>
      <c r="AL41" s="95">
        <f t="shared" si="10"/>
        <v>0</v>
      </c>
      <c r="AM41" s="95">
        <f t="shared" si="11"/>
        <v>0</v>
      </c>
      <c r="AN41" s="96">
        <f t="shared" si="12"/>
        <v>0</v>
      </c>
      <c r="AO41" s="103">
        <f t="shared" si="24"/>
        <v>0</v>
      </c>
      <c r="AP41" s="120">
        <f t="shared" si="13"/>
        <v>0</v>
      </c>
    </row>
    <row r="42" spans="2:42" ht="21.95" customHeight="1" x14ac:dyDescent="0.15">
      <c r="B42" s="75">
        <v>28</v>
      </c>
      <c r="C42" s="472" t="str">
        <f t="shared" si="14"/>
        <v/>
      </c>
      <c r="D42" s="475" t="str">
        <f t="shared" si="15"/>
        <v/>
      </c>
      <c r="E42" s="474" t="str">
        <f t="shared" si="16"/>
        <v/>
      </c>
      <c r="F42" s="431" t="str">
        <f t="shared" si="25"/>
        <v/>
      </c>
      <c r="G42" s="60" t="str">
        <f t="shared" si="26"/>
        <v/>
      </c>
      <c r="H42" s="174" t="str">
        <f t="shared" si="0"/>
        <v/>
      </c>
      <c r="I42" s="72">
        <f t="shared" si="1"/>
        <v>0</v>
      </c>
      <c r="J42" s="66">
        <f t="shared" si="17"/>
        <v>0</v>
      </c>
      <c r="K42" s="73">
        <f t="shared" si="2"/>
        <v>0</v>
      </c>
      <c r="L42" s="68">
        <f t="shared" si="18"/>
        <v>0</v>
      </c>
      <c r="M42" s="69">
        <f>IF($D$4="",0,IF($L42=0,0,VLOOKUP($L42,'3-1.標準報酬月額・保険料表'!$N$8:$O$57,2,TRUE)))</f>
        <v>0</v>
      </c>
      <c r="N42" s="163">
        <f t="shared" si="3"/>
        <v>0</v>
      </c>
      <c r="O42" s="69">
        <f t="shared" si="4"/>
        <v>0</v>
      </c>
      <c r="P42" s="163">
        <f t="shared" si="5"/>
        <v>0</v>
      </c>
      <c r="Q42" s="36">
        <f>IF($D$4="",0,IF($G42&lt;20,0,IF($Q$13="",0,IF($Q$13=2,0,IF($P42&lt;$R$13,0,IF($M42&lt;=620000,VLOOKUP($M42,'3-1.標準報酬月額・保険料表'!$D$8:$L$42,9,FALSE),'3-1.標準報酬月額・保険料表'!$L$42)+ROUNDDOWN($O42*$W$7,0))))))</f>
        <v>0</v>
      </c>
      <c r="R42" s="25">
        <f>IF($D$4="",0,IF($G42&lt;20,0,IF($O$9="",0,IF($Q$13=2,0,IF($D$10&gt;=$S$13,0,IF($P42&lt;$R$13,0,VLOOKUP($M42,'3-1.標準報酬月額・保険料表'!$D$8:$J$57,6,FALSE)+ROUNDDOWN($O42*$T$7,0)))))))</f>
        <v>0</v>
      </c>
      <c r="S42" s="25">
        <f>IF($D$4="",0,IF($G42&lt;20,0,IF($Q$13="",0,IF($Q$13=2,0,IF($D$10&lt;$S$13,0,IF($P42&lt;$R$13,0,VLOOKUP($M42,'3-1.標準報酬月額・保険料表'!$D$8:$J$57,7,FALSE)+ROUNDDOWN($O42*$U$7,0)))))))</f>
        <v>0</v>
      </c>
      <c r="T42" s="41">
        <f t="shared" si="19"/>
        <v>0</v>
      </c>
      <c r="U42" s="46">
        <f>IF($D$4="",0,IF($U$13="",0,IF($U$13=1,0,IF($G42&lt;$W$13,0,IF($K42&lt;$V$13,0,IF($M42&lt;=620000,VLOOKUP($M42,'3-1.標準報酬月額・保険料表'!$D$8:$L$42,9,FALSE),'3-1.標準報酬月額・保険料表'!$L$42)+ROUNDDOWN($O42*$W$7,0))))))</f>
        <v>0</v>
      </c>
      <c r="V42" s="47">
        <f>IF($D$4="",0,IF($U$13="",0,IF($U$13=1,0,IF($G42&lt;$W$13,0,IF($K42&lt;$V$13,0,IF($D$10&gt;=$X$13,0,VLOOKUP($M42,'3-1.標準報酬月額・保険料表'!$D$8:$J$57,6,FALSE)+ROUNDDOWN($O42*$T$7,0)))))))</f>
        <v>0</v>
      </c>
      <c r="W42" s="47">
        <f>IF($D$4="",0,IF($U$13="",0,IF($U$13=1,0,IF($G42&lt;$W$13,0,IF($K42&lt;$V$13,0,IF($D$10&lt;$X$13,0,VLOOKUP($M42,'3-1.標準報酬月額・保険料表'!$D$8:$J$57,7,FALSE)+ROUNDDOWN($O42*$U$7,0)))))))</f>
        <v>0</v>
      </c>
      <c r="X42" s="48">
        <f t="shared" si="20"/>
        <v>0</v>
      </c>
      <c r="Y42" s="38">
        <f t="shared" si="6"/>
        <v>0</v>
      </c>
      <c r="Z42" s="43">
        <f t="shared" si="21"/>
        <v>0</v>
      </c>
      <c r="AA42" s="127">
        <f>IF($D$4="","",VLOOKUP($K42,'3-2.所得算出参照表'!K$5:L$10,2,TRUE))</f>
        <v>1625000</v>
      </c>
      <c r="AB42" s="128">
        <f>IF($AA42="",0,IF($AA42='3-2.所得算出参照表'!$B$5,'3-2.所得算出参照表'!$E$5,IF('5-1.併用メニュー（２年目）'!$AA42='3-2.所得算出参照表'!$B$6,'5-1.併用メニュー（２年目）'!$K42*'3-2.所得算出参照表'!$E$6+'3-2.所得算出参照表'!$G$6,IF('5-1.併用メニュー（２年目）'!$AA42='3-2.所得算出参照表'!$B$7,'5-1.併用メニュー（２年目）'!$K42*'3-2.所得算出参照表'!$E$7+'3-2.所得算出参照表'!$G$7,IF('5-1.併用メニュー（２年目）'!$AA42='3-2.所得算出参照表'!$B$8,'5-1.併用メニュー（２年目）'!$K42*'3-2.所得算出参照表'!$E$8+'3-2.所得算出参照表'!$G$8,IF('5-1.併用メニュー（２年目）'!$AA42='3-2.所得算出参照表'!$B$9,'5-1.併用メニュー（２年目）'!$K42*'3-2.所得算出参照表'!$E$9+'3-2.所得算出参照表'!$G$9,IF($AA42='3-2.所得算出参照表'!$B$10,'3-2.所得算出参照表'!$G$10)))))))</f>
        <v>550000</v>
      </c>
      <c r="AC42" s="90">
        <f t="shared" si="7"/>
        <v>480000</v>
      </c>
      <c r="AD42" s="85">
        <f t="shared" si="8"/>
        <v>0</v>
      </c>
      <c r="AE42" s="130">
        <f>VLOOKUP($AD42,'3-2.所得算出参照表'!$N$4:$O$11,2,TRUE)</f>
        <v>0</v>
      </c>
      <c r="AF42" s="85">
        <f>VLOOKUP($AD42,'3-2.所得算出参照表'!$P$4:$Q$11,2,TRUE)</f>
        <v>0</v>
      </c>
      <c r="AG42" s="85">
        <f t="shared" si="27"/>
        <v>0</v>
      </c>
      <c r="AH42" s="85">
        <f>$AG42*'3-2.所得算出参照表'!$D$14</f>
        <v>0</v>
      </c>
      <c r="AI42" s="99">
        <f t="shared" si="28"/>
        <v>0</v>
      </c>
      <c r="AJ42" s="107">
        <f>IF($AA42="",0,IF($AA42='3-2.所得算出参照表'!$B$5,'3-2.所得算出参照表'!$E$5,IF('5-1.併用メニュー（２年目）'!$AA42='3-2.所得算出参照表'!$B$6,'5-1.併用メニュー（２年目）'!$K42*'3-2.所得算出参照表'!$E$6+'3-2.所得算出参照表'!$G$6,IF('5-1.併用メニュー（２年目）'!$AA42='3-2.所得算出参照表'!$B$7,'5-1.併用メニュー（２年目）'!$K42*'3-2.所得算出参照表'!$E$7+'3-2.所得算出参照表'!$G$7,IF('5-1.併用メニュー（２年目）'!$AA42='3-2.所得算出参照表'!$B$8,'5-1.併用メニュー（２年目）'!$K42*'3-2.所得算出参照表'!$E$8+'3-2.所得算出参照表'!$G$8,IF('5-1.併用メニュー（２年目）'!$AA42='3-2.所得算出参照表'!$B$9,'5-1.併用メニュー（２年目）'!$K42*'3-2.所得算出参照表'!$E$9+'3-2.所得算出参照表'!$G$9,IF($AA42='3-2.所得算出参照表'!$B$10,'3-2.所得算出参照表'!$G$10)))))))</f>
        <v>550000</v>
      </c>
      <c r="AK42" s="47">
        <f t="shared" si="9"/>
        <v>430000</v>
      </c>
      <c r="AL42" s="95">
        <f t="shared" si="10"/>
        <v>0</v>
      </c>
      <c r="AM42" s="95">
        <f t="shared" si="11"/>
        <v>0</v>
      </c>
      <c r="AN42" s="96">
        <f t="shared" si="12"/>
        <v>0</v>
      </c>
      <c r="AO42" s="103">
        <f t="shared" si="24"/>
        <v>0</v>
      </c>
      <c r="AP42" s="120">
        <f t="shared" si="13"/>
        <v>0</v>
      </c>
    </row>
    <row r="43" spans="2:42" ht="21.95" customHeight="1" x14ac:dyDescent="0.15">
      <c r="B43" s="76">
        <v>29</v>
      </c>
      <c r="C43" s="472" t="str">
        <f t="shared" si="14"/>
        <v/>
      </c>
      <c r="D43" s="475" t="str">
        <f t="shared" si="15"/>
        <v/>
      </c>
      <c r="E43" s="474" t="str">
        <f t="shared" si="16"/>
        <v/>
      </c>
      <c r="F43" s="431" t="str">
        <f t="shared" si="25"/>
        <v/>
      </c>
      <c r="G43" s="60" t="str">
        <f t="shared" si="26"/>
        <v/>
      </c>
      <c r="H43" s="174" t="str">
        <f t="shared" si="0"/>
        <v/>
      </c>
      <c r="I43" s="72">
        <f t="shared" si="1"/>
        <v>0</v>
      </c>
      <c r="J43" s="66">
        <f t="shared" si="17"/>
        <v>0</v>
      </c>
      <c r="K43" s="73">
        <f t="shared" si="2"/>
        <v>0</v>
      </c>
      <c r="L43" s="68">
        <f t="shared" si="18"/>
        <v>0</v>
      </c>
      <c r="M43" s="69">
        <f>IF($D$4="",0,IF($L43=0,0,VLOOKUP($L43,'3-1.標準報酬月額・保険料表'!$N$8:$O$57,2,TRUE)))</f>
        <v>0</v>
      </c>
      <c r="N43" s="163">
        <f t="shared" si="3"/>
        <v>0</v>
      </c>
      <c r="O43" s="69">
        <f t="shared" si="4"/>
        <v>0</v>
      </c>
      <c r="P43" s="163">
        <f t="shared" si="5"/>
        <v>0</v>
      </c>
      <c r="Q43" s="36">
        <f>IF($D$4="",0,IF($G43&lt;20,0,IF($Q$13="",0,IF($Q$13=2,0,IF($P43&lt;$R$13,0,IF($M43&lt;=620000,VLOOKUP($M43,'3-1.標準報酬月額・保険料表'!$D$8:$L$42,9,FALSE),'3-1.標準報酬月額・保険料表'!$L$42)+ROUNDDOWN($O43*$W$7,0))))))</f>
        <v>0</v>
      </c>
      <c r="R43" s="25">
        <f>IF($D$4="",0,IF($G43&lt;20,0,IF($O$9="",0,IF($Q$13=2,0,IF($D$10&gt;=$S$13,0,IF($P43&lt;$R$13,0,VLOOKUP($M43,'3-1.標準報酬月額・保険料表'!$D$8:$J$57,6,FALSE)+ROUNDDOWN($O43*$T$7,0)))))))</f>
        <v>0</v>
      </c>
      <c r="S43" s="25">
        <f>IF($D$4="",0,IF($G43&lt;20,0,IF($Q$13="",0,IF($Q$13=2,0,IF($D$10&lt;$S$13,0,IF($P43&lt;$R$13,0,VLOOKUP($M43,'3-1.標準報酬月額・保険料表'!$D$8:$J$57,7,FALSE)+ROUNDDOWN($O43*$U$7,0)))))))</f>
        <v>0</v>
      </c>
      <c r="T43" s="41">
        <f t="shared" si="19"/>
        <v>0</v>
      </c>
      <c r="U43" s="46">
        <f>IF($D$4="",0,IF($U$13="",0,IF($U$13=1,0,IF($G43&lt;$W$13,0,IF($K43&lt;$V$13,0,IF($M43&lt;=620000,VLOOKUP($M43,'3-1.標準報酬月額・保険料表'!$D$8:$L$42,9,FALSE),'3-1.標準報酬月額・保険料表'!$L$42)+ROUNDDOWN($O43*$W$7,0))))))</f>
        <v>0</v>
      </c>
      <c r="V43" s="47">
        <f>IF($D$4="",0,IF($U$13="",0,IF($U$13=1,0,IF($G43&lt;$W$13,0,IF($K43&lt;$V$13,0,IF($D$10&gt;=$X$13,0,VLOOKUP($M43,'3-1.標準報酬月額・保険料表'!$D$8:$J$57,6,FALSE)+ROUNDDOWN($O43*$T$7,0)))))))</f>
        <v>0</v>
      </c>
      <c r="W43" s="47">
        <f>IF($D$4="",0,IF($U$13="",0,IF($U$13=1,0,IF($G43&lt;$W$13,0,IF($K43&lt;$V$13,0,IF($D$10&lt;$X$13,0,VLOOKUP($M43,'3-1.標準報酬月額・保険料表'!$D$8:$J$57,7,FALSE)+ROUNDDOWN($O43*$U$7,0)))))))</f>
        <v>0</v>
      </c>
      <c r="X43" s="48">
        <f t="shared" si="20"/>
        <v>0</v>
      </c>
      <c r="Y43" s="38">
        <f t="shared" si="6"/>
        <v>0</v>
      </c>
      <c r="Z43" s="43">
        <f t="shared" si="21"/>
        <v>0</v>
      </c>
      <c r="AA43" s="127">
        <f>IF($D$4="","",VLOOKUP($K43,'3-2.所得算出参照表'!K$5:L$10,2,TRUE))</f>
        <v>1625000</v>
      </c>
      <c r="AB43" s="128">
        <f>IF($AA43="",0,IF($AA43='3-2.所得算出参照表'!$B$5,'3-2.所得算出参照表'!$E$5,IF('5-1.併用メニュー（２年目）'!$AA43='3-2.所得算出参照表'!$B$6,'5-1.併用メニュー（２年目）'!$K43*'3-2.所得算出参照表'!$E$6+'3-2.所得算出参照表'!$G$6,IF('5-1.併用メニュー（２年目）'!$AA43='3-2.所得算出参照表'!$B$7,'5-1.併用メニュー（２年目）'!$K43*'3-2.所得算出参照表'!$E$7+'3-2.所得算出参照表'!$G$7,IF('5-1.併用メニュー（２年目）'!$AA43='3-2.所得算出参照表'!$B$8,'5-1.併用メニュー（２年目）'!$K43*'3-2.所得算出参照表'!$E$8+'3-2.所得算出参照表'!$G$8,IF('5-1.併用メニュー（２年目）'!$AA43='3-2.所得算出参照表'!$B$9,'5-1.併用メニュー（２年目）'!$K43*'3-2.所得算出参照表'!$E$9+'3-2.所得算出参照表'!$G$9,IF($AA43='3-2.所得算出参照表'!$B$10,'3-2.所得算出参照表'!$G$10)))))))</f>
        <v>550000</v>
      </c>
      <c r="AC43" s="90">
        <f t="shared" si="7"/>
        <v>480000</v>
      </c>
      <c r="AD43" s="85">
        <f t="shared" si="8"/>
        <v>0</v>
      </c>
      <c r="AE43" s="130">
        <f>VLOOKUP($AD43,'3-2.所得算出参照表'!$N$4:$O$11,2,TRUE)</f>
        <v>0</v>
      </c>
      <c r="AF43" s="85">
        <f>VLOOKUP($AD43,'3-2.所得算出参照表'!$P$4:$Q$11,2,TRUE)</f>
        <v>0</v>
      </c>
      <c r="AG43" s="85">
        <f t="shared" si="27"/>
        <v>0</v>
      </c>
      <c r="AH43" s="85">
        <f>$AG43*'3-2.所得算出参照表'!$D$14</f>
        <v>0</v>
      </c>
      <c r="AI43" s="99">
        <f t="shared" si="28"/>
        <v>0</v>
      </c>
      <c r="AJ43" s="107">
        <f>IF($AA43="",0,IF($AA43='3-2.所得算出参照表'!$B$5,'3-2.所得算出参照表'!$E$5,IF('5-1.併用メニュー（２年目）'!$AA43='3-2.所得算出参照表'!$B$6,'5-1.併用メニュー（２年目）'!$K43*'3-2.所得算出参照表'!$E$6+'3-2.所得算出参照表'!$G$6,IF('5-1.併用メニュー（２年目）'!$AA43='3-2.所得算出参照表'!$B$7,'5-1.併用メニュー（２年目）'!$K43*'3-2.所得算出参照表'!$E$7+'3-2.所得算出参照表'!$G$7,IF('5-1.併用メニュー（２年目）'!$AA43='3-2.所得算出参照表'!$B$8,'5-1.併用メニュー（２年目）'!$K43*'3-2.所得算出参照表'!$E$8+'3-2.所得算出参照表'!$G$8,IF('5-1.併用メニュー（２年目）'!$AA43='3-2.所得算出参照表'!$B$9,'5-1.併用メニュー（２年目）'!$K43*'3-2.所得算出参照表'!$E$9+'3-2.所得算出参照表'!$G$9,IF($AA43='3-2.所得算出参照表'!$B$10,'3-2.所得算出参照表'!$G$10)))))))</f>
        <v>550000</v>
      </c>
      <c r="AK43" s="47">
        <f t="shared" si="9"/>
        <v>430000</v>
      </c>
      <c r="AL43" s="95">
        <f t="shared" si="10"/>
        <v>0</v>
      </c>
      <c r="AM43" s="95">
        <f t="shared" si="11"/>
        <v>0</v>
      </c>
      <c r="AN43" s="96">
        <f t="shared" si="12"/>
        <v>0</v>
      </c>
      <c r="AO43" s="103">
        <f t="shared" si="24"/>
        <v>0</v>
      </c>
      <c r="AP43" s="120">
        <f t="shared" si="13"/>
        <v>0</v>
      </c>
    </row>
    <row r="44" spans="2:42" ht="21.95" customHeight="1" thickBot="1" x14ac:dyDescent="0.2">
      <c r="B44" s="76">
        <v>30</v>
      </c>
      <c r="C44" s="473" t="str">
        <f t="shared" si="14"/>
        <v/>
      </c>
      <c r="D44" s="475" t="str">
        <f t="shared" si="15"/>
        <v/>
      </c>
      <c r="E44" s="474" t="str">
        <f t="shared" si="16"/>
        <v/>
      </c>
      <c r="F44" s="431" t="str">
        <f t="shared" si="25"/>
        <v/>
      </c>
      <c r="G44" s="60" t="str">
        <f t="shared" si="26"/>
        <v/>
      </c>
      <c r="H44" s="174" t="str">
        <f t="shared" si="0"/>
        <v/>
      </c>
      <c r="I44" s="72">
        <f t="shared" si="1"/>
        <v>0</v>
      </c>
      <c r="J44" s="67">
        <f t="shared" si="17"/>
        <v>0</v>
      </c>
      <c r="K44" s="73">
        <f t="shared" si="2"/>
        <v>0</v>
      </c>
      <c r="L44" s="70">
        <f t="shared" si="18"/>
        <v>0</v>
      </c>
      <c r="M44" s="71">
        <f>IF($D$4="",0,IF($L44=0,0,VLOOKUP($L44,'3-1.標準報酬月額・保険料表'!$N$8:$O$57,2,TRUE)))</f>
        <v>0</v>
      </c>
      <c r="N44" s="164">
        <f t="shared" si="3"/>
        <v>0</v>
      </c>
      <c r="O44" s="71">
        <f t="shared" si="4"/>
        <v>0</v>
      </c>
      <c r="P44" s="164">
        <f t="shared" si="5"/>
        <v>0</v>
      </c>
      <c r="Q44" s="37">
        <f>IF($D$4="",0,IF($G44&lt;20,0,IF($Q$13="",0,IF($Q$13=2,0,IF($P44&lt;$R$13,0,IF($M44&lt;=620000,VLOOKUP($M44,'3-1.標準報酬月額・保険料表'!$D$8:$L$42,9,FALSE),'3-1.標準報酬月額・保険料表'!$L$42)+ROUNDDOWN($O44*$W$7,0))))))</f>
        <v>0</v>
      </c>
      <c r="R44" s="45">
        <f>IF($D$4="",0,IF($G44&lt;20,0,IF($O$9="",0,IF($Q$13=2,0,IF($D$10&gt;=$S$13,0,IF($P44&lt;$R$13,0,VLOOKUP($M44,'3-1.標準報酬月額・保険料表'!$D$8:$J$57,6,FALSE)+ROUNDDOWN($O44*$T$7,0)))))))</f>
        <v>0</v>
      </c>
      <c r="S44" s="45">
        <f>IF($D$4="",0,IF($G44&lt;20,0,IF($Q$13="",0,IF($Q$13=2,0,IF($D$10&lt;$S$13,0,IF($P44&lt;$R$13,0,VLOOKUP($M44,'3-1.標準報酬月額・保険料表'!$D$8:$J$57,7,FALSE)+ROUNDDOWN($O44*$U$7,0)))))))</f>
        <v>0</v>
      </c>
      <c r="T44" s="42">
        <f t="shared" si="19"/>
        <v>0</v>
      </c>
      <c r="U44" s="49">
        <f>IF($D$4="",0,IF($U$13="",0,IF($U$13=1,0,IF($G44&lt;$W$13,0,IF($K44&lt;$V$13,0,IF($M44&lt;=620000,VLOOKUP($M44,'3-1.標準報酬月額・保険料表'!$D$8:$L$42,9,FALSE),'3-1.標準報酬月額・保険料表'!$L$42)+ROUNDDOWN($O44*$W$7,0))))))</f>
        <v>0</v>
      </c>
      <c r="V44" s="50">
        <f>IF($D$4="",0,IF($U$13="",0,IF($U$13=1,0,IF($G44&lt;$W$13,0,IF($K44&lt;$V$13,0,IF($D$10&gt;=$X$13,0,VLOOKUP($M44,'3-1.標準報酬月額・保険料表'!$D$8:$J$57,6,FALSE)+ROUNDDOWN($O44*$T$7,0)))))))</f>
        <v>0</v>
      </c>
      <c r="W44" s="50">
        <f>IF($D$4="",0,IF($U$13="",0,IF($U$13=1,0,IF($G44&lt;$W$13,0,IF($K44&lt;$V$13,0,IF($D$10&lt;$X$13,0,VLOOKUP($M44,'3-1.標準報酬月額・保険料表'!$D$8:$J$57,7,FALSE)+ROUNDDOWN($O44*$U$7,0)))))))</f>
        <v>0</v>
      </c>
      <c r="X44" s="51">
        <f t="shared" si="20"/>
        <v>0</v>
      </c>
      <c r="Y44" s="39">
        <f t="shared" si="6"/>
        <v>0</v>
      </c>
      <c r="Z44" s="44">
        <f t="shared" si="21"/>
        <v>0</v>
      </c>
      <c r="AA44" s="127">
        <f>IF($D$4="","",VLOOKUP($K44,'3-2.所得算出参照表'!K$5:L$10,2,TRUE))</f>
        <v>1625000</v>
      </c>
      <c r="AB44" s="128">
        <f>IF($AA44="",0,IF($AA44='3-2.所得算出参照表'!$B$5,'3-2.所得算出参照表'!$E$5,IF('5-1.併用メニュー（２年目）'!$AA44='3-2.所得算出参照表'!$B$6,'5-1.併用メニュー（２年目）'!$K44*'3-2.所得算出参照表'!$E$6+'3-2.所得算出参照表'!$G$6,IF('5-1.併用メニュー（２年目）'!$AA44='3-2.所得算出参照表'!$B$7,'5-1.併用メニュー（２年目）'!$K44*'3-2.所得算出参照表'!$E$7+'3-2.所得算出参照表'!$G$7,IF('5-1.併用メニュー（２年目）'!$AA44='3-2.所得算出参照表'!$B$8,'5-1.併用メニュー（２年目）'!$K44*'3-2.所得算出参照表'!$E$8+'3-2.所得算出参照表'!$G$8,IF('5-1.併用メニュー（２年目）'!$AA44='3-2.所得算出参照表'!$B$9,'5-1.併用メニュー（２年目）'!$K44*'3-2.所得算出参照表'!$E$9+'3-2.所得算出参照表'!$G$9,IF($AA44='3-2.所得算出参照表'!$B$10,'3-2.所得算出参照表'!$G$10)))))))</f>
        <v>550000</v>
      </c>
      <c r="AC44" s="90">
        <f t="shared" si="7"/>
        <v>480000</v>
      </c>
      <c r="AD44" s="85">
        <f t="shared" si="8"/>
        <v>0</v>
      </c>
      <c r="AE44" s="130">
        <f>VLOOKUP($AD44,'3-2.所得算出参照表'!$N$4:$O$11,2,TRUE)</f>
        <v>0</v>
      </c>
      <c r="AF44" s="85">
        <f>VLOOKUP($AD44,'3-2.所得算出参照表'!$P$4:$Q$11,2,TRUE)</f>
        <v>0</v>
      </c>
      <c r="AG44" s="85">
        <f t="shared" si="27"/>
        <v>0</v>
      </c>
      <c r="AH44" s="85">
        <f>$AG44*'3-2.所得算出参照表'!$D$14</f>
        <v>0</v>
      </c>
      <c r="AI44" s="99">
        <f t="shared" si="28"/>
        <v>0</v>
      </c>
      <c r="AJ44" s="108">
        <f>IF($AA44="",0,IF($AA44='3-2.所得算出参照表'!$B$5,'3-2.所得算出参照表'!$E$5,IF('5-1.併用メニュー（２年目）'!$AA44='3-2.所得算出参照表'!$B$6,'5-1.併用メニュー（２年目）'!$K44*'3-2.所得算出参照表'!$E$6+'3-2.所得算出参照表'!$G$6,IF('5-1.併用メニュー（２年目）'!$AA44='3-2.所得算出参照表'!$B$7,'5-1.併用メニュー（２年目）'!$K44*'3-2.所得算出参照表'!$E$7+'3-2.所得算出参照表'!$G$7,IF('5-1.併用メニュー（２年目）'!$AA44='3-2.所得算出参照表'!$B$8,'5-1.併用メニュー（２年目）'!$K44*'3-2.所得算出参照表'!$E$8+'3-2.所得算出参照表'!$G$8,IF('5-1.併用メニュー（２年目）'!$AA44='3-2.所得算出参照表'!$B$9,'5-1.併用メニュー（２年目）'!$K44*'3-2.所得算出参照表'!$E$9+'3-2.所得算出参照表'!$G$9,IF($AA44='3-2.所得算出参照表'!$B$10,'3-2.所得算出参照表'!$G$10)))))))</f>
        <v>550000</v>
      </c>
      <c r="AK44" s="50">
        <f t="shared" si="9"/>
        <v>430000</v>
      </c>
      <c r="AL44" s="104">
        <f t="shared" si="10"/>
        <v>0</v>
      </c>
      <c r="AM44" s="104">
        <f t="shared" si="11"/>
        <v>0</v>
      </c>
      <c r="AN44" s="105">
        <f t="shared" si="12"/>
        <v>0</v>
      </c>
      <c r="AO44" s="106">
        <f>IF($AL44*$AN$13=0,0,$AL44*$AN$13-IF($AL44&lt;=$AO$13,($AC44-$AK44)*0.05,IF($AL44&gt;$AO$13,IF($AL44&gt;$AO$13,($AC44-$AK44)-($AL44-$AO$13)*0.05)))+$AM44)</f>
        <v>0</v>
      </c>
      <c r="AP44" s="121">
        <f t="shared" si="13"/>
        <v>0</v>
      </c>
    </row>
    <row r="45" spans="2:42" x14ac:dyDescent="0.15">
      <c r="AN45" s="109"/>
    </row>
    <row r="46" spans="2:42" x14ac:dyDescent="0.15">
      <c r="AN46" s="109"/>
    </row>
    <row r="47" spans="2:42" x14ac:dyDescent="0.15">
      <c r="AN47" s="109"/>
    </row>
  </sheetData>
  <sheetProtection algorithmName="SHA-512" hashValue="AHGBWqVos/pz/ezfa0Rjh5VhpP2LscsTHxH2cF+4MloSCSwV/jLRpsZK7EOeBAo6ASwNwmixX2VdO0/Pv4H48Q==" saltValue="hBXiV7YxAMEOis60jRcgxw==" spinCount="100000" sheet="1" objects="1" scenarios="1"/>
  <mergeCells count="25">
    <mergeCell ref="C5:D5"/>
    <mergeCell ref="M9:N9"/>
    <mergeCell ref="Y9:Y10"/>
    <mergeCell ref="M10:N10"/>
    <mergeCell ref="J4:J5"/>
    <mergeCell ref="K4:K5"/>
    <mergeCell ref="L4:L5"/>
    <mergeCell ref="M4:M5"/>
    <mergeCell ref="T4:X4"/>
    <mergeCell ref="AL5:AM5"/>
    <mergeCell ref="J8:K8"/>
    <mergeCell ref="M8:O8"/>
    <mergeCell ref="AL8:AM8"/>
    <mergeCell ref="AN8:AO8"/>
    <mergeCell ref="AX16:AY16"/>
    <mergeCell ref="AX10:AY10"/>
    <mergeCell ref="M11:N11"/>
    <mergeCell ref="AW11:AW12"/>
    <mergeCell ref="AX11:AY11"/>
    <mergeCell ref="AX12:AY12"/>
    <mergeCell ref="AP13:AP14"/>
    <mergeCell ref="AW13:AW14"/>
    <mergeCell ref="AX13:AY13"/>
    <mergeCell ref="AX14:AY14"/>
    <mergeCell ref="AX15:AY15"/>
  </mergeCells>
  <phoneticPr fontId="3"/>
  <conditionalFormatting sqref="K15:K44">
    <cfRule type="expression" dxfId="23" priority="1">
      <formula>K15&gt;=$J$13</formula>
    </cfRule>
    <cfRule type="expression" dxfId="22" priority="2">
      <formula>K15&gt;=J$12</formula>
    </cfRule>
    <cfRule type="expression" dxfId="21" priority="3">
      <formula>K15&gt;$J$11</formula>
    </cfRule>
    <cfRule type="expression" dxfId="20" priority="4">
      <formula>K15&gt;$J$10</formula>
    </cfRule>
    <cfRule type="expression" dxfId="19" priority="5">
      <formula>K15&lt;=$J$9</formula>
    </cfRule>
  </conditionalFormatting>
  <pageMargins left="0.59055118110236227" right="0.59055118110236227" top="0.78740157480314965" bottom="0.59055118110236227" header="0.51181102362204722" footer="0.51181102362204722"/>
  <pageSetup paperSize="9" scale="70" pageOrder="overThenDown" orientation="landscape" r:id="rId1"/>
  <headerFooter alignWithMargins="0">
    <oddFooter>&amp;C&amp;P</oddFooter>
  </headerFooter>
  <rowBreaks count="1" manualBreakCount="1">
    <brk id="29" max="44" man="1"/>
  </rowBreaks>
  <colBreaks count="3" manualBreakCount="3">
    <brk id="16" max="43" man="1"/>
    <brk id="26" max="43" man="1"/>
    <brk id="36" max="43"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9727A-F3EE-432C-9405-6F331AEC75BC}">
  <sheetPr>
    <tabColor rgb="FF99FFCC"/>
    <pageSetUpPr autoPageBreaks="0"/>
  </sheetPr>
  <dimension ref="B1:U46"/>
  <sheetViews>
    <sheetView showGridLines="0" zoomScaleNormal="100" zoomScaleSheetLayoutView="80" workbookViewId="0">
      <selection activeCell="I13" sqref="I13"/>
    </sheetView>
  </sheetViews>
  <sheetFormatPr defaultRowHeight="14.25" x14ac:dyDescent="0.15"/>
  <cols>
    <col min="1" max="1" width="2.625" style="17" customWidth="1"/>
    <col min="2" max="2" width="6" style="17" customWidth="1"/>
    <col min="3" max="3" width="18.125" style="17" customWidth="1"/>
    <col min="4" max="5" width="16.75" style="17" customWidth="1"/>
    <col min="6" max="6" width="8.5" style="17" customWidth="1"/>
    <col min="7" max="7" width="11.125" style="17" customWidth="1"/>
    <col min="8" max="8" width="14.125" style="17" customWidth="1"/>
    <col min="9" max="9" width="19.375" style="17" customWidth="1"/>
    <col min="10" max="10" width="19.125" style="17" customWidth="1"/>
    <col min="11" max="11" width="16.25" style="17" customWidth="1"/>
    <col min="12" max="12" width="10.875" style="17" customWidth="1"/>
    <col min="13" max="13" width="12.375" style="17" customWidth="1"/>
    <col min="14" max="14" width="15.625" style="17" customWidth="1"/>
    <col min="15" max="15" width="12.25" style="17" customWidth="1"/>
    <col min="16" max="16" width="30.75" style="17" customWidth="1"/>
    <col min="17" max="17" width="9" style="109"/>
    <col min="18" max="18" width="14.25" style="17" customWidth="1"/>
    <col min="19" max="19" width="19.75" style="17" customWidth="1"/>
    <col min="20" max="20" width="31.875" style="17" customWidth="1"/>
    <col min="21" max="21" width="19.75" style="17" customWidth="1"/>
    <col min="22" max="16384" width="9" style="17"/>
  </cols>
  <sheetData>
    <row r="1" spans="2:20" ht="30.75" customHeight="1" x14ac:dyDescent="0.15">
      <c r="C1" s="123"/>
      <c r="D1" s="123"/>
      <c r="E1" s="123"/>
      <c r="F1" s="123"/>
      <c r="G1" s="123"/>
      <c r="H1" s="123"/>
      <c r="I1" s="123"/>
      <c r="J1" s="123"/>
      <c r="K1" s="123"/>
      <c r="L1" s="123"/>
      <c r="M1" s="123"/>
      <c r="N1" s="123"/>
      <c r="O1" s="123"/>
    </row>
    <row r="2" spans="2:20" ht="38.25" customHeight="1" x14ac:dyDescent="0.15">
      <c r="I2" s="399"/>
      <c r="J2" s="183"/>
    </row>
    <row r="3" spans="2:20" ht="24" customHeight="1" x14ac:dyDescent="0.15">
      <c r="B3" s="469"/>
      <c r="C3" s="400" t="s">
        <v>345</v>
      </c>
      <c r="D3" s="401"/>
      <c r="E3" s="401"/>
      <c r="F3" s="401"/>
      <c r="G3" s="401"/>
      <c r="H3" s="401"/>
      <c r="I3" s="401"/>
      <c r="J3" s="401"/>
      <c r="K3" s="401"/>
      <c r="L3" s="401"/>
      <c r="P3" s="34" t="s">
        <v>168</v>
      </c>
    </row>
    <row r="4" spans="2:20" ht="8.25" customHeight="1" x14ac:dyDescent="0.15">
      <c r="C4" s="402"/>
      <c r="D4" s="402"/>
      <c r="E4" s="402"/>
      <c r="F4" s="402"/>
      <c r="G4" s="402"/>
      <c r="H4" s="402"/>
      <c r="I4" s="402"/>
      <c r="P4" s="383"/>
    </row>
    <row r="5" spans="2:20" ht="27.95" customHeight="1" x14ac:dyDescent="0.15">
      <c r="C5" s="695" t="s">
        <v>79</v>
      </c>
      <c r="D5" s="654">
        <f>IF('5-1.併用メニュー（２年目）'!$D$4="","",'5-1.併用メニュー（２年目）'!$D$4)</f>
        <v>102</v>
      </c>
      <c r="E5" s="324" t="s">
        <v>111</v>
      </c>
      <c r="F5" s="1007" t="str">
        <f>IF('5-1.併用メニュー（２年目）'!$C$6="","",'5-1.併用メニュー（２年目）'!$C$6)&amp;"  　様"</f>
        <v>ＡＢ  　様</v>
      </c>
      <c r="G5" s="1008"/>
      <c r="H5" s="1009"/>
      <c r="I5" s="653"/>
      <c r="K5" s="18"/>
      <c r="L5" s="998" t="s">
        <v>362</v>
      </c>
      <c r="M5" s="999"/>
      <c r="N5" s="999"/>
      <c r="O5" s="999"/>
      <c r="P5" s="1000"/>
    </row>
    <row r="6" spans="2:20" ht="27.95" customHeight="1" x14ac:dyDescent="0.15">
      <c r="C6" s="696" t="s">
        <v>171</v>
      </c>
      <c r="D6" s="425">
        <f>IF('5-1.併用メニュー（２年目）'!$D$7="","",'5-1.併用メニュー（２年目）'!$D$7)</f>
        <v>5</v>
      </c>
      <c r="E6" s="697" t="s">
        <v>296</v>
      </c>
      <c r="F6" s="1010">
        <f>IF('5-1.併用メニュー（２年目）'!$D$9="","",'5-1.併用メニュー（２年目）'!$D$9)</f>
        <v>1000</v>
      </c>
      <c r="G6" s="1011"/>
      <c r="H6" s="655" t="s">
        <v>308</v>
      </c>
      <c r="I6" s="816" t="s">
        <v>169</v>
      </c>
      <c r="L6" s="1001"/>
      <c r="M6" s="1002"/>
      <c r="N6" s="1002"/>
      <c r="O6" s="1002"/>
      <c r="P6" s="1003"/>
      <c r="R6" s="109"/>
    </row>
    <row r="7" spans="2:20" ht="27.95" customHeight="1" x14ac:dyDescent="0.15">
      <c r="C7" s="696" t="s">
        <v>103</v>
      </c>
      <c r="D7" s="425">
        <f>IF('5-1.併用メニュー（２年目）'!$D$8="","",'5-1.併用メニュー（２年目）'!$D$8)</f>
        <v>4</v>
      </c>
      <c r="E7" s="324" t="s">
        <v>297</v>
      </c>
      <c r="F7" s="1012">
        <f>IF('5-1.併用メニュー（２年目）'!$C$13="","",'5-1.併用メニュー（２年目）'!$C$13)</f>
        <v>40</v>
      </c>
      <c r="G7" s="1013"/>
      <c r="H7" s="656" t="s">
        <v>308</v>
      </c>
      <c r="I7" s="816" t="s">
        <v>170</v>
      </c>
      <c r="L7" s="1004"/>
      <c r="M7" s="1005"/>
      <c r="N7" s="1005"/>
      <c r="O7" s="1005"/>
      <c r="P7" s="1006"/>
      <c r="R7" s="19"/>
      <c r="S7" s="19"/>
    </row>
    <row r="8" spans="2:20" s="19" customFormat="1" ht="7.5" customHeight="1" thickBot="1" x14ac:dyDescent="0.2">
      <c r="G8" s="187"/>
      <c r="H8" s="187"/>
      <c r="I8" s="403"/>
      <c r="J8" s="404"/>
      <c r="K8" s="17"/>
      <c r="L8" s="17"/>
      <c r="M8" s="378"/>
      <c r="N8" s="379"/>
      <c r="O8" s="17"/>
      <c r="Q8" s="427"/>
      <c r="R8" s="17"/>
      <c r="S8" s="17"/>
    </row>
    <row r="9" spans="2:20" ht="65.25" customHeight="1" thickBot="1" x14ac:dyDescent="0.2">
      <c r="B9" s="659" t="s">
        <v>18</v>
      </c>
      <c r="C9" s="662" t="s">
        <v>298</v>
      </c>
      <c r="D9" s="662" t="s">
        <v>328</v>
      </c>
      <c r="E9" s="662" t="s">
        <v>329</v>
      </c>
      <c r="F9" s="662" t="s">
        <v>360</v>
      </c>
      <c r="G9" s="662" t="s">
        <v>48</v>
      </c>
      <c r="H9" s="662" t="s">
        <v>107</v>
      </c>
      <c r="I9" s="663" t="s">
        <v>299</v>
      </c>
      <c r="J9" s="663" t="s">
        <v>259</v>
      </c>
      <c r="K9" s="664" t="s">
        <v>361</v>
      </c>
      <c r="L9" s="665" t="s">
        <v>91</v>
      </c>
      <c r="M9" s="666" t="s">
        <v>144</v>
      </c>
      <c r="N9" s="667" t="s">
        <v>121</v>
      </c>
      <c r="O9" s="667" t="s">
        <v>306</v>
      </c>
      <c r="P9" s="416" t="s">
        <v>327</v>
      </c>
      <c r="R9" s="979" t="s">
        <v>317</v>
      </c>
      <c r="S9" s="997"/>
      <c r="T9" s="411"/>
    </row>
    <row r="10" spans="2:20" ht="13.5" hidden="1" customHeight="1" thickBot="1" x14ac:dyDescent="0.2">
      <c r="B10" s="657"/>
      <c r="C10" s="387"/>
      <c r="D10" s="387"/>
      <c r="E10" s="387"/>
      <c r="F10" s="387"/>
      <c r="G10" s="387"/>
      <c r="H10" s="387"/>
      <c r="I10" s="388"/>
      <c r="J10" s="389">
        <v>0</v>
      </c>
      <c r="K10" s="390"/>
      <c r="L10" s="390"/>
      <c r="M10" s="390"/>
      <c r="N10" s="391"/>
      <c r="O10" s="395"/>
      <c r="P10" s="417"/>
      <c r="R10" s="381"/>
      <c r="S10" s="386"/>
    </row>
    <row r="11" spans="2:20" ht="24" customHeight="1" x14ac:dyDescent="0.15">
      <c r="B11" s="658">
        <v>1</v>
      </c>
      <c r="C11" s="677">
        <f>IF('5-1.併用メニュー（２年目）'!$C15="","",'5-1.併用メニュー（２年目）'!C$15)</f>
        <v>1040</v>
      </c>
      <c r="D11" s="678">
        <f>IF($C11="","",IF('5-1.併用メニュー（２年目）'!$D15="","",'5-1.併用メニュー（２年目）'!$D15))</f>
        <v>0</v>
      </c>
      <c r="E11" s="669">
        <f>IF($C11="","",IF('5-1.併用メニュー（２年目）'!$E15="","",'5-1.併用メニュー（２年目）'!$E15))</f>
        <v>1040</v>
      </c>
      <c r="F11" s="669">
        <f>IF($C11="","",IF('5-1.併用メニュー（２年目）'!$F15="","",'5-1.併用メニュー（２年目）'!$F15))</f>
        <v>0</v>
      </c>
      <c r="G11" s="679">
        <f>IF($C11="","",IF('5-1.併用メニュー（２年目）'!$G15="","",'5-1.併用メニュー（２年目）'!$G15))</f>
        <v>20</v>
      </c>
      <c r="H11" s="490">
        <f>IF($C11="","",IF('5-1.併用メニュー（２年目）'!$I15="","",'5-1.併用メニュー（２年目）'!$I15))</f>
        <v>90380.952380952382</v>
      </c>
      <c r="I11" s="490">
        <f>IF($C11="","",IF('5-1.併用メニュー（２年目）'!$J15="","",'5-1.併用メニュー（２年目）'!$J15))</f>
        <v>92380.952380952382</v>
      </c>
      <c r="J11" s="679">
        <f>IF($C11="","",IF('5-1.併用メニュー（２年目）'!$K15="","",'5-1.併用メニュー（２年目）'!$K15))</f>
        <v>1108571.4285714286</v>
      </c>
      <c r="K11" s="679">
        <f>IF($C11="","",IF('5-1.併用メニュー（２年目）'!$Z15="","",'5-1.併用メニュー（２年目）'!$Z15))</f>
        <v>174760.62857142859</v>
      </c>
      <c r="L11" s="679">
        <f>IF($C11="","",IF('5-1.併用メニュー（２年目）'!$AI15="","",'5-1.併用メニュー（２年目）'!$AI15))</f>
        <v>0</v>
      </c>
      <c r="M11" s="490">
        <f>IF($C11="","",IF('5-1.併用メニュー（２年目）'!$AO15="","",'5-1.併用メニュー（２年目）'!$AO15))</f>
        <v>0</v>
      </c>
      <c r="N11" s="679">
        <f>IF($C11="","",IF('5-1.併用メニュー（２年目）'!$AP15="","",'5-1.併用メニュー（２年目）'!$AP15))</f>
        <v>933810.8</v>
      </c>
      <c r="O11" s="652" t="s">
        <v>305</v>
      </c>
      <c r="P11" s="651"/>
      <c r="R11" s="405">
        <v>1000000</v>
      </c>
      <c r="S11" s="406" t="s">
        <v>301</v>
      </c>
      <c r="T11" s="397" t="s">
        <v>309</v>
      </c>
    </row>
    <row r="12" spans="2:20" ht="24" customHeight="1" x14ac:dyDescent="0.15">
      <c r="B12" s="658">
        <v>2</v>
      </c>
      <c r="C12" s="669">
        <f>IF('5-1.併用メニュー（２年目）'!$C16="","",'5-1.併用メニュー（２年目）'!C$15)</f>
        <v>1040</v>
      </c>
      <c r="D12" s="419">
        <f>IF($C12="","",IF('5-1.併用メニュー（２年目）'!$D16="","",'5-1.併用メニュー（２年目）'!$D16))</f>
        <v>0.15</v>
      </c>
      <c r="E12" s="669">
        <f>IF($C12="","",IF('5-1.併用メニュー（２年目）'!$E16="","",'5-1.併用メニュー（２年目）'!$E16))</f>
        <v>1196</v>
      </c>
      <c r="F12" s="669">
        <f>IF($C12="","",IF('5-1.併用メニュー（２年目）'!$F16="","",'5-1.併用メニュー（２年目）'!$F16))</f>
        <v>1</v>
      </c>
      <c r="G12" s="679">
        <f>IF($C12="","",IF('5-1.併用メニュー（２年目）'!$G16="","",'5-1.併用メニュー（２年目）'!$G16))</f>
        <v>21</v>
      </c>
      <c r="H12" s="679">
        <f>IF($C12="","",IF('5-1.併用メニュー（２年目）'!$I16="","",'5-1.併用メニュー（２年目）'!$I16))</f>
        <v>109135</v>
      </c>
      <c r="I12" s="490">
        <f>IF($C12="","",IF('5-1.併用メニュー（２年目）'!$J16="","",'5-1.併用メニュー（２年目）'!$J16))</f>
        <v>111135</v>
      </c>
      <c r="J12" s="679">
        <f>IF($C12="","",IF('5-1.併用メニュー（２年目）'!$K16="","",'5-1.併用メニュー（２年目）'!$K16))</f>
        <v>1333620</v>
      </c>
      <c r="K12" s="679">
        <f>IF($C12="","",IF('5-1.併用メニュー（２年目）'!$Z16="","",'5-1.併用メニュー（２年目）'!$Z16))</f>
        <v>196695.72</v>
      </c>
      <c r="L12" s="490">
        <f>IF($C12="","",IF('5-1.併用メニュー（２年目）'!$AI16="","",'5-1.併用メニュー（２年目）'!$AI16))</f>
        <v>5400</v>
      </c>
      <c r="M12" s="490">
        <f>IF($C12="","",IF('5-1.併用メニュー（２年目）'!$AO16="","",'5-1.併用メニュー（２年目）'!$AO16))</f>
        <v>18600</v>
      </c>
      <c r="N12" s="679">
        <f>IF($C12="","",IF('5-1.併用メニュー（２年目）'!$AP16="","",'5-1.併用メニュー（２年目）'!$AP16))</f>
        <v>1112924.28</v>
      </c>
      <c r="O12" s="490">
        <f>IF($C12="","",IF($N12=0,0,$N12-$N11))</f>
        <v>179113.47999999998</v>
      </c>
      <c r="P12" s="651"/>
      <c r="R12" s="385">
        <v>1000000</v>
      </c>
      <c r="S12" s="407" t="s">
        <v>302</v>
      </c>
      <c r="T12" s="398" t="s">
        <v>309</v>
      </c>
    </row>
    <row r="13" spans="2:20" ht="24" customHeight="1" x14ac:dyDescent="0.15">
      <c r="B13" s="658">
        <v>3</v>
      </c>
      <c r="C13" s="669">
        <f>IF('5-1.併用メニュー（２年目）'!$C17="","",'5-1.併用メニュー（２年目）'!C$15)</f>
        <v>1040</v>
      </c>
      <c r="D13" s="419">
        <f>IF($C13="","",IF('5-1.併用メニュー（２年目）'!$D17="","",'5-1.併用メニュー（２年目）'!$D17))</f>
        <v>0.1</v>
      </c>
      <c r="E13" s="669">
        <f>IF($C13="","",IF('5-1.併用メニュー（２年目）'!$E17="","",'5-1.併用メニュー（２年目）'!$E17))</f>
        <v>1144</v>
      </c>
      <c r="F13" s="669">
        <f>IF($C13="","",IF('5-1.併用メニュー（２年目）'!$F17="","",'5-1.併用メニュー（２年目）'!$F17))</f>
        <v>2</v>
      </c>
      <c r="G13" s="679">
        <f>IF($C13="","",IF('5-1.併用メニュー（２年目）'!$G17="","",'5-1.併用メニュー（２年目）'!$G17))</f>
        <v>22</v>
      </c>
      <c r="H13" s="679">
        <f>IF($C13="","",IF('5-1.併用メニュー（２年目）'!$I17="","",'5-1.併用メニュー（２年目）'!$I17))</f>
        <v>109360.95238095238</v>
      </c>
      <c r="I13" s="490">
        <f>IF($C13="","",IF('5-1.併用メニュー（２年目）'!$J17="","",'5-1.併用メニュー（２年目）'!$J17))</f>
        <v>111360.95238095238</v>
      </c>
      <c r="J13" s="679">
        <f>IF($C13="","",IF('5-1.併用メニュー（２年目）'!$K17="","",'5-1.併用メニュー（２年目）'!$K17))</f>
        <v>1336331.4285714286</v>
      </c>
      <c r="K13" s="679">
        <f>IF($C13="","",IF('5-1.併用メニュー（２年目）'!$Z17="","",'5-1.併用メニュー（２年目）'!$Z17))</f>
        <v>196711.98857142858</v>
      </c>
      <c r="L13" s="490">
        <f>IF($C13="","",IF('5-1.併用メニュー（２年目）'!$AI17="","",'5-1.併用メニュー（２年目）'!$AI17))</f>
        <v>5500</v>
      </c>
      <c r="M13" s="490">
        <f>IF($C13="","",IF('5-1.併用メニュー（２年目）'!$AO17="","",'5-1.併用メニュー（２年目）'!$AO17))</f>
        <v>18900</v>
      </c>
      <c r="N13" s="679">
        <f>IF($C13="","",IF('5-1.併用メニュー（２年目）'!$AP17="","",'5-1.併用メニュー（２年目）'!$AP17))</f>
        <v>1115219.44</v>
      </c>
      <c r="O13" s="490">
        <f t="shared" ref="O13:O40" si="0">IF($C13="","",IF($N13=0,0,$N13-$N12))</f>
        <v>2295.1599999999162</v>
      </c>
      <c r="P13" s="651"/>
      <c r="R13" s="385">
        <v>1030000</v>
      </c>
      <c r="S13" s="408" t="s">
        <v>304</v>
      </c>
      <c r="T13" s="398" t="s">
        <v>310</v>
      </c>
    </row>
    <row r="14" spans="2:20" ht="24" customHeight="1" x14ac:dyDescent="0.15">
      <c r="B14" s="658">
        <v>4</v>
      </c>
      <c r="C14" s="669">
        <f>IF('5-1.併用メニュー（２年目）'!$C18="","",'5-1.併用メニュー（２年目）'!C$15)</f>
        <v>1040</v>
      </c>
      <c r="D14" s="419">
        <f>IF($C14="","",IF('5-1.併用メニュー（２年目）'!$D18="","",'5-1.併用メニュー（２年目）'!$D18))</f>
        <v>0.05</v>
      </c>
      <c r="E14" s="669">
        <f>IF($C14="","",IF('5-1.併用メニュー（２年目）'!$E18="","",'5-1.併用メニュー（２年目）'!$E18))</f>
        <v>1092</v>
      </c>
      <c r="F14" s="669">
        <f>IF($C14="","",IF('5-1.併用メニュー（２年目）'!$F18="","",'5-1.併用メニュー（２年目）'!$F18))</f>
        <v>3</v>
      </c>
      <c r="G14" s="679">
        <f>IF($C14="","",IF('5-1.併用メニュー（２年目）'!$G18="","",'5-1.併用メニュー（２年目）'!$G18))</f>
        <v>23</v>
      </c>
      <c r="H14" s="679">
        <f>IF($C14="","",IF('5-1.併用メニュー（２年目）'!$I18="","",'5-1.併用メニュー（２年目）'!$I18))</f>
        <v>109135</v>
      </c>
      <c r="I14" s="490">
        <f>IF($C14="","",IF('5-1.併用メニュー（２年目）'!$J18="","",'5-1.併用メニュー（２年目）'!$J18))</f>
        <v>111135</v>
      </c>
      <c r="J14" s="679">
        <f>IF($C14="","",IF('5-1.併用メニュー（２年目）'!$K18="","",'5-1.併用メニュー（２年目）'!$K18))</f>
        <v>1333620</v>
      </c>
      <c r="K14" s="679">
        <f>IF($C14="","",IF('5-1.併用メニュー（２年目）'!$Z18="","",'5-1.併用メニュー（２年目）'!$Z18))</f>
        <v>196695.72</v>
      </c>
      <c r="L14" s="490">
        <f>IF($C14="","",IF('5-1.併用メニュー（２年目）'!$AI18="","",'5-1.併用メニュー（２年目）'!$AI18))</f>
        <v>5400</v>
      </c>
      <c r="M14" s="490">
        <f>IF($C14="","",IF('5-1.併用メニュー（２年目）'!$AO18="","",'5-1.併用メニュー（２年目）'!$AO18))</f>
        <v>18600</v>
      </c>
      <c r="N14" s="679">
        <f>IF($C14="","",IF('5-1.併用メニュー（２年目）'!$AP18="","",'5-1.併用メニュー（２年目）'!$AP18))</f>
        <v>1112924.28</v>
      </c>
      <c r="O14" s="490">
        <f t="shared" si="0"/>
        <v>-2295.1599999999162</v>
      </c>
      <c r="P14" s="651"/>
      <c r="R14" s="385">
        <v>1060000</v>
      </c>
      <c r="S14" s="384" t="s">
        <v>312</v>
      </c>
      <c r="T14" s="398" t="s">
        <v>313</v>
      </c>
    </row>
    <row r="15" spans="2:20" ht="24" customHeight="1" thickBot="1" x14ac:dyDescent="0.2">
      <c r="B15" s="658">
        <v>5</v>
      </c>
      <c r="C15" s="669">
        <f>IF('5-1.併用メニュー（２年目）'!$C19="","",'5-1.併用メニュー（２年目）'!C$15)</f>
        <v>1040</v>
      </c>
      <c r="D15" s="419">
        <f>IF($C15="","",IF('5-1.併用メニュー（２年目）'!$D19="","",'5-1.併用メニュー（２年目）'!$D19))</f>
        <v>0</v>
      </c>
      <c r="E15" s="669">
        <f>IF($C15="","",IF('5-1.併用メニュー（２年目）'!$E19="","",'5-1.併用メニュー（２年目）'!$E19))</f>
        <v>1040</v>
      </c>
      <c r="F15" s="669">
        <f>IF($C15="","",IF('5-1.併用メニュー（２年目）'!$F19="","",'5-1.併用メニュー（２年目）'!$F19))</f>
        <v>4</v>
      </c>
      <c r="G15" s="679">
        <f>IF($C15="","",IF('5-1.併用メニュー（２年目）'!$G19="","",'5-1.併用メニュー（２年目）'!$G19))</f>
        <v>24</v>
      </c>
      <c r="H15" s="679">
        <f>IF($C15="","",IF('5-1.併用メニュー（２年目）'!$I19="","",'5-1.併用メニュー（２年目）'!$I19))</f>
        <v>108457.14285714284</v>
      </c>
      <c r="I15" s="490">
        <f>IF($C15="","",IF('5-1.併用メニュー（２年目）'!$J19="","",'5-1.併用メニュー（２年目）'!$J19))</f>
        <v>110457.14285714284</v>
      </c>
      <c r="J15" s="679">
        <f>IF($C15="","",IF('5-1.併用メニュー（２年目）'!$K19="","",'5-1.併用メニュー（２年目）'!$K19))</f>
        <v>1325485.7142857141</v>
      </c>
      <c r="K15" s="679">
        <f>IF($C15="","",IF('5-1.併用メニュー（２年目）'!$Z19="","",'5-1.併用メニュー（２年目）'!$Z19))</f>
        <v>196646.91428571427</v>
      </c>
      <c r="L15" s="490">
        <f>IF($C15="","",IF('5-1.併用メニュー（２年目）'!$AI19="","",'5-1.併用メニュー（２年目）'!$AI19))</f>
        <v>5000</v>
      </c>
      <c r="M15" s="490">
        <f>IF($C15="","",IF('5-1.併用メニュー（２年目）'!$AO19="","",'5-1.併用メニュー（２年目）'!$AO19))</f>
        <v>17800</v>
      </c>
      <c r="N15" s="679">
        <f>IF($C15="","",IF('5-1.併用メニュー（２年目）'!$AP19="","",'5-1.併用メニュー（２年目）'!$AP19))</f>
        <v>1106038.7999999998</v>
      </c>
      <c r="O15" s="490">
        <f t="shared" si="0"/>
        <v>-6885.4800000002142</v>
      </c>
      <c r="P15" s="651"/>
      <c r="R15" s="409">
        <v>1300000</v>
      </c>
      <c r="S15" s="410" t="s">
        <v>303</v>
      </c>
      <c r="T15" s="415" t="s">
        <v>311</v>
      </c>
    </row>
    <row r="16" spans="2:20" ht="24" customHeight="1" x14ac:dyDescent="0.15">
      <c r="B16" s="658">
        <v>6</v>
      </c>
      <c r="C16" s="669">
        <f>IF('5-1.併用メニュー（２年目）'!$C20="","",'5-1.併用メニュー（２年目）'!C$15)</f>
        <v>1040</v>
      </c>
      <c r="D16" s="419">
        <f>IF($C16="","",IF('5-1.併用メニュー（２年目）'!$D20="","",'5-1.併用メニュー（２年目）'!$D20))</f>
        <v>0</v>
      </c>
      <c r="E16" s="669">
        <f>IF($C16="","",IF('5-1.併用メニュー（２年目）'!$E20="","",'5-1.併用メニュー（２年目）'!$E20))</f>
        <v>1040</v>
      </c>
      <c r="F16" s="669">
        <f>IF($C16="","",IF('5-1.併用メニュー（２年目）'!$F20="","",'5-1.併用メニュー（２年目）'!$F20))</f>
        <v>5</v>
      </c>
      <c r="G16" s="679">
        <f>IF($C16="","",IF('5-1.併用メニュー（２年目）'!$G20="","",'5-1.併用メニュー（２年目）'!$G20))</f>
        <v>25</v>
      </c>
      <c r="H16" s="679">
        <f>IF($C16="","",IF('5-1.併用メニュー（２年目）'!$I20="","",'5-1.併用メニュー（２年目）'!$I20))</f>
        <v>112976.19047619049</v>
      </c>
      <c r="I16" s="490">
        <f>IF($C16="","",IF('5-1.併用メニュー（２年目）'!$J20="","",'5-1.併用メニュー（２年目）'!$J20))</f>
        <v>114976.19047619049</v>
      </c>
      <c r="J16" s="679">
        <f>IF($C16="","",IF('5-1.併用メニュー（２年目）'!$K20="","",'5-1.併用メニュー（２年目）'!$K20))</f>
        <v>1379714.2857142859</v>
      </c>
      <c r="K16" s="679">
        <f>IF($C16="","",IF('5-1.併用メニュー（２年目）'!$Z20="","",'5-1.併用メニュー（２年目）'!$Z20))</f>
        <v>210695.48571428569</v>
      </c>
      <c r="L16" s="490">
        <f>IF($C16="","",IF('5-1.併用メニュー（２年目）'!$AI20="","",'5-1.併用メニュー（２年目）'!$AI20))</f>
        <v>7000</v>
      </c>
      <c r="M16" s="490">
        <f>IF($C16="","",IF('5-1.併用メニュー（２年目）'!$AO20="","",'5-1.併用メニュー（２年目）'!$AO20))</f>
        <v>21900</v>
      </c>
      <c r="N16" s="679">
        <f>IF($C16="","",IF('5-1.併用メニュー（２年目）'!$AP20="","",'5-1.併用メニュー（２年目）'!$AP20))</f>
        <v>1140118.8000000003</v>
      </c>
      <c r="O16" s="490">
        <f t="shared" si="0"/>
        <v>34080.000000000466</v>
      </c>
      <c r="P16" s="651"/>
      <c r="Q16" s="427"/>
      <c r="R16" s="392" t="s">
        <v>315</v>
      </c>
      <c r="S16" s="412"/>
      <c r="T16" s="411"/>
    </row>
    <row r="17" spans="2:21" ht="24" customHeight="1" x14ac:dyDescent="0.15">
      <c r="B17" s="658">
        <v>7</v>
      </c>
      <c r="C17" s="669">
        <f>IF('5-1.併用メニュー（２年目）'!$C21="","",'5-1.併用メニュー（２年目）'!C$15)</f>
        <v>1040</v>
      </c>
      <c r="D17" s="419">
        <f>IF($C17="","",IF('5-1.併用メニュー（２年目）'!$D21="","",'5-1.併用メニュー（２年目）'!$D21))</f>
        <v>0</v>
      </c>
      <c r="E17" s="669">
        <f>IF($C17="","",IF('5-1.併用メニュー（２年目）'!$E21="","",'5-1.併用メニュー（２年目）'!$E21))</f>
        <v>1040</v>
      </c>
      <c r="F17" s="669">
        <f>IF($C17="","",IF('5-1.併用メニュー（２年目）'!$F21="","",'5-1.併用メニュー（２年目）'!$F21))</f>
        <v>6</v>
      </c>
      <c r="G17" s="679">
        <f>IF($C17="","",IF('5-1.併用メニュー（２年目）'!$G21="","",'5-1.併用メニュー（２年目）'!$G21))</f>
        <v>26</v>
      </c>
      <c r="H17" s="679">
        <f>IF($C17="","",IF('5-1.併用メニュー（２年目）'!$I21="","",'5-1.併用メニュー（２年目）'!$I21))</f>
        <v>117495.23809523811</v>
      </c>
      <c r="I17" s="490">
        <f>IF($C17="","",IF('5-1.併用メニュー（２年目）'!$J21="","",'5-1.併用メニュー（２年目）'!$J21))</f>
        <v>119495.23809523811</v>
      </c>
      <c r="J17" s="679">
        <f>IF($C17="","",IF('5-1.併用メニュー（２年目）'!$K21="","",'5-1.併用メニュー（２年目）'!$K21))</f>
        <v>1433942.8571428573</v>
      </c>
      <c r="K17" s="679">
        <f>IF($C17="","",IF('5-1.併用メニュー（２年目）'!$Z21="","",'5-1.併用メニュー（２年目）'!$Z21))</f>
        <v>211020.85714285713</v>
      </c>
      <c r="L17" s="490">
        <f>IF($C17="","",IF('5-1.併用メニュー（２年目）'!$AI21="","",'5-1.併用メニュー（２年目）'!$AI21))</f>
        <v>9800</v>
      </c>
      <c r="M17" s="490">
        <f>IF($C17="","",IF('5-1.併用メニュー（２年目）'!$AO21="","",'5-1.併用メニュー（２年目）'!$AO21))</f>
        <v>27200</v>
      </c>
      <c r="N17" s="679">
        <f>IF($C17="","",IF('5-1.併用メニュー（２年目）'!$AP21="","",'5-1.併用メニュー（２年目）'!$AP21))</f>
        <v>1185922.0000000002</v>
      </c>
      <c r="O17" s="490">
        <f t="shared" si="0"/>
        <v>45803.199999999953</v>
      </c>
      <c r="P17" s="651"/>
      <c r="Q17" s="427"/>
      <c r="R17" s="393" t="s">
        <v>316</v>
      </c>
      <c r="S17" s="413"/>
      <c r="T17" s="411"/>
    </row>
    <row r="18" spans="2:21" ht="24" customHeight="1" thickBot="1" x14ac:dyDescent="0.2">
      <c r="B18" s="658">
        <v>8</v>
      </c>
      <c r="C18" s="669">
        <f>IF('5-1.併用メニュー（２年目）'!$C22="","",'5-1.併用メニュー（２年目）'!C$15)</f>
        <v>1040</v>
      </c>
      <c r="D18" s="419">
        <f>IF($C18="","",IF('5-1.併用メニュー（２年目）'!$D22="","",'5-1.併用メニュー（２年目）'!$D22))</f>
        <v>0</v>
      </c>
      <c r="E18" s="669">
        <f>IF($C18="","",IF('5-1.併用メニュー（２年目）'!$E22="","",'5-1.併用メニュー（２年目）'!$E22))</f>
        <v>1040</v>
      </c>
      <c r="F18" s="669">
        <f>IF($C18="","",IF('5-1.併用メニュー（２年目）'!$F22="","",'5-1.併用メニュー（２年目）'!$F22))</f>
        <v>7</v>
      </c>
      <c r="G18" s="679">
        <f>IF($C18="","",IF('5-1.併用メニュー（２年目）'!$G22="","",'5-1.併用メニュー（２年目）'!$G22))</f>
        <v>27</v>
      </c>
      <c r="H18" s="679">
        <f>IF($C18="","",IF('5-1.併用メニュー（２年目）'!$I22="","",'5-1.併用メニュー（２年目）'!$I22))</f>
        <v>122014.28571428572</v>
      </c>
      <c r="I18" s="490">
        <f>IF($C18="","",IF('5-1.併用メニュー（２年目）'!$J22="","",'5-1.併用メニュー（２年目）'!$J22))</f>
        <v>124014.28571428572</v>
      </c>
      <c r="J18" s="679">
        <f>IF($C18="","",IF('5-1.併用メニュー（２年目）'!$K22="","",'5-1.併用メニュー（２年目）'!$K22))</f>
        <v>1488171.4285714286</v>
      </c>
      <c r="K18" s="679">
        <f>IF($C18="","",IF('5-1.併用メニュー（２年目）'!$Z22="","",'5-1.併用メニュー（２年目）'!$Z22))</f>
        <v>225069.42857142861</v>
      </c>
      <c r="L18" s="490">
        <f>IF($C18="","",IF('5-1.併用メニュー（２年目）'!$AI22="","",'5-1.併用メニュー（２年目）'!$AI22))</f>
        <v>11800</v>
      </c>
      <c r="M18" s="490">
        <f>IF($C18="","",IF('5-1.併用メニュー（２年目）'!$AO22="","",'5-1.併用メニュー（２年目）'!$AO22))</f>
        <v>31300</v>
      </c>
      <c r="N18" s="679">
        <f>IF($C18="","",IF('5-1.併用メニュー（２年目）'!$AP22="","",'5-1.併用メニュー（２年目）'!$AP22))</f>
        <v>1220002</v>
      </c>
      <c r="O18" s="490">
        <f t="shared" si="0"/>
        <v>34079.999999999767</v>
      </c>
      <c r="P18" s="651"/>
      <c r="Q18" s="427"/>
      <c r="R18" s="394" t="s">
        <v>314</v>
      </c>
      <c r="S18" s="414">
        <f>IF('5-1.併用メニュー（２年目）'!$J$2="","",'5-1.併用メニュー（２年目）'!$J$2)</f>
        <v>3</v>
      </c>
      <c r="T18" s="411"/>
    </row>
    <row r="19" spans="2:21" ht="24" customHeight="1" thickBot="1" x14ac:dyDescent="0.2">
      <c r="B19" s="658">
        <v>9</v>
      </c>
      <c r="C19" s="669">
        <f>IF('5-1.併用メニュー（２年目）'!$C23="","",'5-1.併用メニュー（２年目）'!C$15)</f>
        <v>1040</v>
      </c>
      <c r="D19" s="419">
        <f>IF($C19="","",IF('5-1.併用メニュー（２年目）'!$D23="","",'5-1.併用メニュー（２年目）'!$D23))</f>
        <v>0</v>
      </c>
      <c r="E19" s="669">
        <f>IF($C19="","",IF('5-1.併用メニュー（２年目）'!$E23="","",'5-1.併用メニュー（２年目）'!$E23))</f>
        <v>1040</v>
      </c>
      <c r="F19" s="669">
        <f>IF($C19="","",IF('5-1.併用メニュー（２年目）'!$F23="","",'5-1.併用メニュー（２年目）'!$F23))</f>
        <v>8</v>
      </c>
      <c r="G19" s="679">
        <f>IF($C19="","",IF('5-1.併用メニュー（２年目）'!$G23="","",'5-1.併用メニュー（２年目）'!$G23))</f>
        <v>28</v>
      </c>
      <c r="H19" s="679">
        <f>IF($C19="","",IF('5-1.併用メニュー（２年目）'!$I23="","",'5-1.併用メニュー（２年目）'!$I23))</f>
        <v>126533.33333333333</v>
      </c>
      <c r="I19" s="490">
        <f>IF($C19="","",IF('5-1.併用メニュー（２年目）'!$J23="","",'5-1.併用メニュー（２年目）'!$J23))</f>
        <v>128533.33333333333</v>
      </c>
      <c r="J19" s="679">
        <f>IF($C19="","",IF('5-1.併用メニュー（２年目）'!$K23="","",'5-1.併用メニュー（２年目）'!$K23))</f>
        <v>1542400</v>
      </c>
      <c r="K19" s="679">
        <f>IF($C19="","",IF('5-1.併用メニュー（２年目）'!$Z23="","",'5-1.併用メニュー（２年目）'!$Z23))</f>
        <v>239117.99999999997</v>
      </c>
      <c r="L19" s="490">
        <f>IF($C19="","",IF('5-1.併用メニュー（２年目）'!$AI23="","",'5-1.併用メニュー（２年目）'!$AI23))</f>
        <v>13900</v>
      </c>
      <c r="M19" s="490">
        <f>IF($C19="","",IF('5-1.併用メニュー（２年目）'!$AO23="","",'5-1.併用メニュー（２年目）'!$AO23))</f>
        <v>35300</v>
      </c>
      <c r="N19" s="679">
        <f>IF($C19="","",IF('5-1.併用メニュー（２年目）'!$AP23="","",'5-1.併用メニュー（２年目）'!$AP23))</f>
        <v>1254082</v>
      </c>
      <c r="O19" s="490">
        <f t="shared" si="0"/>
        <v>34080</v>
      </c>
      <c r="P19" s="651"/>
      <c r="R19" s="426">
        <f>88000+$G$12-$G$11</f>
        <v>88001</v>
      </c>
    </row>
    <row r="20" spans="2:21" ht="24" customHeight="1" x14ac:dyDescent="0.15">
      <c r="B20" s="658">
        <v>10</v>
      </c>
      <c r="C20" s="669">
        <f>IF('5-1.併用メニュー（２年目）'!$C24="","",'5-1.併用メニュー（２年目）'!C$15)</f>
        <v>1040</v>
      </c>
      <c r="D20" s="419">
        <f>IF($C20="","",IF('5-1.併用メニュー（２年目）'!$D24="","",'5-1.併用メニュー（２年目）'!$D24))</f>
        <v>0</v>
      </c>
      <c r="E20" s="669">
        <f>IF($C20="","",IF('5-1.併用メニュー（２年目）'!$E24="","",'5-1.併用メニュー（２年目）'!$E24))</f>
        <v>1040</v>
      </c>
      <c r="F20" s="669">
        <f>IF($C20="","",IF('5-1.併用メニュー（２年目）'!$F24="","",'5-1.併用メニュー（２年目）'!$F24))</f>
        <v>9</v>
      </c>
      <c r="G20" s="679">
        <f>IF($C20="","",IF('5-1.併用メニュー（２年目）'!$G24="","",'5-1.併用メニュー（２年目）'!$G24))</f>
        <v>29</v>
      </c>
      <c r="H20" s="679">
        <f>IF($C20="","",IF('5-1.併用メニュー（２年目）'!$I24="","",'5-1.併用メニュー（２年目）'!$I24))</f>
        <v>131052.38095238095</v>
      </c>
      <c r="I20" s="490">
        <f>IF($C20="","",IF('5-1.併用メニュー（２年目）'!$J24="","",'5-1.併用メニュー（２年目）'!$J24))</f>
        <v>133052.38095238095</v>
      </c>
      <c r="J20" s="679">
        <f>IF($C20="","",IF('5-1.併用メニュー（２年目）'!$K24="","",'5-1.併用メニュー（２年目）'!$K24))</f>
        <v>1596628.5714285714</v>
      </c>
      <c r="K20" s="679">
        <f>IF($C20="","",IF('5-1.併用メニュー（２年目）'!$Z24="","",'5-1.併用メニュー（２年目）'!$Z24))</f>
        <v>239443.37142857141</v>
      </c>
      <c r="L20" s="490">
        <f>IF($C20="","",IF('5-1.併用メニュー（２年目）'!$AI24="","",'5-1.併用メニュー（２年目）'!$AI24))</f>
        <v>16600</v>
      </c>
      <c r="M20" s="490">
        <f>IF($C20="","",IF('5-1.併用メニュー（２年目）'!$AO24="","",'5-1.併用メニュー（２年目）'!$AO24))</f>
        <v>40700</v>
      </c>
      <c r="N20" s="679">
        <f>IF($C20="","",IF('5-1.併用メニュー（２年目）'!$AP24="","",'5-1.併用メニュー（２年目）'!$AP24))</f>
        <v>1299885.2</v>
      </c>
      <c r="O20" s="490">
        <f t="shared" si="0"/>
        <v>45803.199999999953</v>
      </c>
      <c r="P20" s="651"/>
      <c r="R20" s="418"/>
      <c r="S20" s="19"/>
      <c r="T20" s="19"/>
      <c r="U20" s="19"/>
    </row>
    <row r="21" spans="2:21" ht="24" customHeight="1" x14ac:dyDescent="0.15">
      <c r="B21" s="658">
        <v>11</v>
      </c>
      <c r="C21" s="669">
        <f>IF('5-1.併用メニュー（２年目）'!$C25="","",'5-1.併用メニュー（２年目）'!C$15)</f>
        <v>1040</v>
      </c>
      <c r="D21" s="419">
        <f>IF($C21="","",IF('5-1.併用メニュー（２年目）'!$D25="","",'5-1.併用メニュー（２年目）'!$D25))</f>
        <v>0</v>
      </c>
      <c r="E21" s="669">
        <f>IF($C21="","",IF('5-1.併用メニュー（２年目）'!$E25="","",'5-1.併用メニュー（２年目）'!$E25))</f>
        <v>1040</v>
      </c>
      <c r="F21" s="669">
        <f>IF($C21="","",IF('5-1.併用メニュー（２年目）'!$F25="","",'5-1.併用メニュー（２年目）'!$F25))</f>
        <v>10</v>
      </c>
      <c r="G21" s="679">
        <f>IF($C21="","",IF('5-1.併用メニュー（２年目）'!$G25="","",'5-1.併用メニュー（２年目）'!$G25))</f>
        <v>30</v>
      </c>
      <c r="H21" s="679">
        <f>IF($C21="","",IF('5-1.併用メニュー（２年目）'!$I25="","",'5-1.併用メニュー（２年目）'!$I25))</f>
        <v>135571.42857142855</v>
      </c>
      <c r="I21" s="490">
        <f>IF($C21="","",IF('5-1.併用メニュー（２年目）'!$J25="","",'5-1.併用メニュー（２年目）'!$J25))</f>
        <v>137571.42857142855</v>
      </c>
      <c r="J21" s="679">
        <f>IF($C21="","",IF('5-1.併用メニュー（２年目）'!$K25="","",'5-1.併用メニュー（２年目）'!$K25))</f>
        <v>1650857.1428571427</v>
      </c>
      <c r="K21" s="679">
        <f>IF($C21="","",IF('5-1.併用メニュー（２年目）'!$Z25="","",'5-1.併用メニュー（２年目）'!$Z25))</f>
        <v>253491.94285714289</v>
      </c>
      <c r="L21" s="490">
        <f>IF($C21="","",IF('5-1.併用メニュー（２年目）'!$AI25="","",'5-1.併用メニュー（２年目）'!$AI25))</f>
        <v>18200</v>
      </c>
      <c r="M21" s="490">
        <f>IF($C21="","",IF('5-1.併用メニュー（２年目）'!$AO25="","",'5-1.併用メニュー（２年目）'!$AO25))</f>
        <v>43700</v>
      </c>
      <c r="N21" s="679">
        <f>IF($C21="","",IF('5-1.併用メニュー（２年目）'!$AP25="","",'5-1.併用メニュー（２年目）'!$AP25))</f>
        <v>1335465.1999999997</v>
      </c>
      <c r="O21" s="490">
        <f t="shared" si="0"/>
        <v>35579.999999999767</v>
      </c>
      <c r="P21" s="651"/>
      <c r="R21" s="418"/>
      <c r="S21" s="19"/>
      <c r="T21" s="19"/>
    </row>
    <row r="22" spans="2:21" ht="24" customHeight="1" x14ac:dyDescent="0.15">
      <c r="B22" s="658">
        <v>12</v>
      </c>
      <c r="C22" s="669">
        <f>IF('5-1.併用メニュー（２年目）'!$C26="","",'5-1.併用メニュー（２年目）'!C$15)</f>
        <v>1040</v>
      </c>
      <c r="D22" s="419">
        <f>IF($C22="","",IF('5-1.併用メニュー（２年目）'!$D26="","",'5-1.併用メニュー（２年目）'!$D26))</f>
        <v>0</v>
      </c>
      <c r="E22" s="669">
        <f>IF($C22="","",IF('5-1.併用メニュー（２年目）'!$E26="","",'5-1.併用メニュー（２年目）'!$E26))</f>
        <v>1040</v>
      </c>
      <c r="F22" s="669">
        <f>IF($C22="","",IF('5-1.併用メニュー（２年目）'!$F26="","",'5-1.併用メニュー（２年目）'!$F26))</f>
        <v>11</v>
      </c>
      <c r="G22" s="679">
        <f>IF($C22="","",IF('5-1.併用メニュー（２年目）'!$G26="","",'5-1.併用メニュー（２年目）'!$G26))</f>
        <v>31</v>
      </c>
      <c r="H22" s="679">
        <f>IF($C22="","",IF('5-1.併用メニュー（２年目）'!$I26="","",'5-1.併用メニュー（２年目）'!$I26))</f>
        <v>140090.47619047618</v>
      </c>
      <c r="I22" s="490">
        <f>IF($C22="","",IF('5-1.併用メニュー（２年目）'!$J26="","",'5-1.併用メニュー（２年目）'!$J26))</f>
        <v>142090.47619047618</v>
      </c>
      <c r="J22" s="679">
        <f>IF($C22="","",IF('5-1.併用メニュー（２年目）'!$K26="","",'5-1.併用メニュー（２年目）'!$K26))</f>
        <v>1705085.7142857141</v>
      </c>
      <c r="K22" s="679">
        <f>IF($C22="","",IF('5-1.併用メニュー（２年目）'!$Z26="","",'5-1.併用メニュー（２年目）'!$Z26))</f>
        <v>253817.3142857143</v>
      </c>
      <c r="L22" s="490">
        <f>IF($C22="","",IF('5-1.併用メニュー（２年目）'!$AI26="","",'5-1.併用メニュー（２年目）'!$AI26))</f>
        <v>19800</v>
      </c>
      <c r="M22" s="490">
        <f>IF($C22="","",IF('5-1.併用メニュー（２年目）'!$AO26="","",'5-1.併用メニュー（２年目）'!$AO26))</f>
        <v>46900</v>
      </c>
      <c r="N22" s="679">
        <f>IF($C22="","",IF('5-1.併用メニュー（２年目）'!$AP26="","",'5-1.併用メニュー（２年目）'!$AP26))</f>
        <v>1384568.4</v>
      </c>
      <c r="O22" s="490">
        <f t="shared" si="0"/>
        <v>49103.200000000186</v>
      </c>
      <c r="P22" s="651"/>
      <c r="S22" s="19"/>
      <c r="T22" s="19"/>
    </row>
    <row r="23" spans="2:21" ht="24" customHeight="1" x14ac:dyDescent="0.15">
      <c r="B23" s="658">
        <v>13</v>
      </c>
      <c r="C23" s="669">
        <f>IF('5-1.併用メニュー（２年目）'!$C27="","",'5-1.併用メニュー（２年目）'!C$15)</f>
        <v>1040</v>
      </c>
      <c r="D23" s="419">
        <f>IF($C23="","",IF('5-1.併用メニュー（２年目）'!$D27="","",'5-1.併用メニュー（２年目）'!$D27))</f>
        <v>0</v>
      </c>
      <c r="E23" s="669">
        <f>IF($C23="","",IF('5-1.併用メニュー（２年目）'!$E27="","",'5-1.併用メニュー（２年目）'!$E27))</f>
        <v>1040</v>
      </c>
      <c r="F23" s="669">
        <f>IF($C23="","",IF('5-1.併用メニュー（２年目）'!$F27="","",'5-1.併用メニュー（２年目）'!$F27))</f>
        <v>12</v>
      </c>
      <c r="G23" s="679">
        <f>IF($C23="","",IF('5-1.併用メニュー（２年目）'!$G27="","",'5-1.併用メニュー（２年目）'!$G27))</f>
        <v>32</v>
      </c>
      <c r="H23" s="679">
        <f>IF($C23="","",IF('5-1.併用メニュー（２年目）'!$I27="","",'5-1.併用メニュー（２年目）'!$I27))</f>
        <v>144609.52380952382</v>
      </c>
      <c r="I23" s="490">
        <f>IF($C23="","",IF('5-1.併用メニュー（２年目）'!$J27="","",'5-1.併用メニュー（２年目）'!$J27))</f>
        <v>146609.52380952382</v>
      </c>
      <c r="J23" s="679">
        <f>IF($C23="","",IF('5-1.併用メニュー（２年目）'!$K27="","",'5-1.併用メニュー（２年目）'!$K27))</f>
        <v>1759314.2857142859</v>
      </c>
      <c r="K23" s="679">
        <f>IF($C23="","",IF('5-1.併用メニュー（２年目）'!$Z27="","",'5-1.併用メニュー（２年目）'!$Z27))</f>
        <v>267865.88571428572</v>
      </c>
      <c r="L23" s="490">
        <f>IF($C23="","",IF('5-1.併用メニュー（２年目）'!$AI27="","",'5-1.併用メニュー（２年目）'!$AI27))</f>
        <v>20700</v>
      </c>
      <c r="M23" s="490">
        <f>IF($C23="","",IF('5-1.併用メニュー（２年目）'!$AO27="","",'5-1.併用メニュー（２年目）'!$AO27))</f>
        <v>48700</v>
      </c>
      <c r="N23" s="679">
        <f>IF($C23="","",IF('5-1.併用メニュー（２年目）'!$AP27="","",'5-1.併用メニュー（２年目）'!$AP27))</f>
        <v>1422048.4000000001</v>
      </c>
      <c r="O23" s="490">
        <f t="shared" si="0"/>
        <v>37480.000000000233</v>
      </c>
      <c r="P23" s="651"/>
      <c r="R23" s="19"/>
      <c r="S23" s="19"/>
      <c r="T23" s="19"/>
    </row>
    <row r="24" spans="2:21" ht="24" customHeight="1" x14ac:dyDescent="0.15">
      <c r="B24" s="658">
        <v>14</v>
      </c>
      <c r="C24" s="669">
        <f>IF('5-1.併用メニュー（２年目）'!$C28="","",'5-1.併用メニュー（２年目）'!C$15)</f>
        <v>1040</v>
      </c>
      <c r="D24" s="419">
        <f>IF($C24="","",IF('5-1.併用メニュー（２年目）'!$D28="","",'5-1.併用メニュー（２年目）'!$D28))</f>
        <v>0</v>
      </c>
      <c r="E24" s="669">
        <f>IF($C24="","",IF('5-1.併用メニュー（２年目）'!$E28="","",'5-1.併用メニュー（２年目）'!$E28))</f>
        <v>1040</v>
      </c>
      <c r="F24" s="669">
        <f>IF($C24="","",IF('5-1.併用メニュー（２年目）'!$F28="","",'5-1.併用メニュー（２年目）'!$F28))</f>
        <v>13</v>
      </c>
      <c r="G24" s="679">
        <f>IF($C24="","",IF('5-1.併用メニュー（２年目）'!$G28="","",'5-1.併用メニュー（２年目）'!$G28))</f>
        <v>33</v>
      </c>
      <c r="H24" s="679">
        <f>IF($C24="","",IF('5-1.併用メニュー（２年目）'!$I28="","",'5-1.併用メニュー（２年目）'!$I28))</f>
        <v>149128.57142857145</v>
      </c>
      <c r="I24" s="490">
        <f>IF($C24="","",IF('5-1.併用メニュー（２年目）'!$J28="","",'5-1.併用メニュー（２年目）'!$J28))</f>
        <v>151128.57142857145</v>
      </c>
      <c r="J24" s="679">
        <f>IF($C24="","",IF('5-1.併用メニュー（２年目）'!$K28="","",'5-1.併用メニュー（２年目）'!$K28))</f>
        <v>1813542.8571428573</v>
      </c>
      <c r="K24" s="679">
        <f>IF($C24="","",IF('5-1.併用メニュー（２年目）'!$Z28="","",'5-1.併用メニュー（２年目）'!$Z28))</f>
        <v>268191.25714285712</v>
      </c>
      <c r="L24" s="490">
        <f>IF($C24="","",IF('5-1.併用メニュー（２年目）'!$AI28="","",'5-1.併用メニュー（２年目）'!$AI28))</f>
        <v>22500</v>
      </c>
      <c r="M24" s="490">
        <f>IF($C24="","",IF('5-1.併用メニュー（２年目）'!$AO28="","",'5-1.併用メニュー（２年目）'!$AO28))</f>
        <v>52100</v>
      </c>
      <c r="N24" s="679">
        <f>IF($C24="","",IF('5-1.併用メニュー（２年目）'!$AP28="","",'5-1.併用メニュー（２年目）'!$AP28))</f>
        <v>1470751.6</v>
      </c>
      <c r="O24" s="490">
        <f t="shared" si="0"/>
        <v>48703.199999999953</v>
      </c>
      <c r="P24" s="651"/>
      <c r="R24" s="19"/>
    </row>
    <row r="25" spans="2:21" ht="24" customHeight="1" x14ac:dyDescent="0.15">
      <c r="B25" s="658">
        <v>15</v>
      </c>
      <c r="C25" s="669">
        <f>IF('5-1.併用メニュー（２年目）'!$C29="","",'5-1.併用メニュー（２年目）'!C$15)</f>
        <v>1040</v>
      </c>
      <c r="D25" s="419">
        <f>IF($C25="","",IF('5-1.併用メニュー（２年目）'!$D29="","",'5-1.併用メニュー（２年目）'!$D29))</f>
        <v>0</v>
      </c>
      <c r="E25" s="669">
        <f>IF($C25="","",IF('5-1.併用メニュー（２年目）'!$E29="","",'5-1.併用メニュー（２年目）'!$E29))</f>
        <v>1040</v>
      </c>
      <c r="F25" s="669">
        <f>IF($C25="","",IF('5-1.併用メニュー（２年目）'!$F29="","",'5-1.併用メニュー（２年目）'!$F29))</f>
        <v>14</v>
      </c>
      <c r="G25" s="679">
        <f>IF($C25="","",IF('5-1.併用メニュー（２年目）'!$G29="","",'5-1.併用メニュー（２年目）'!$G29))</f>
        <v>34</v>
      </c>
      <c r="H25" s="679">
        <f>IF($C25="","",IF('5-1.併用メニュー（２年目）'!$I29="","",'5-1.併用メニュー（２年目）'!$I29))</f>
        <v>153647.61904761905</v>
      </c>
      <c r="I25" s="490">
        <f>IF($C25="","",IF('5-1.併用メニュー（２年目）'!$J29="","",'5-1.併用メニュー（２年目）'!$J29))</f>
        <v>155647.61904761905</v>
      </c>
      <c r="J25" s="679">
        <f>IF($C25="","",IF('5-1.併用メニュー（２年目）'!$K29="","",'5-1.併用メニュー（２年目）'!$K29))</f>
        <v>1867771.4285714286</v>
      </c>
      <c r="K25" s="679">
        <f>IF($C25="","",IF('5-1.併用メニュー（２年目）'!$Z29="","",'5-1.併用メニュー（２年目）'!$Z29))</f>
        <v>285670.62857142859</v>
      </c>
      <c r="L25" s="490">
        <f>IF($C25="","",IF('5-1.併用メニュー（２年目）'!$AI29="","",'5-1.併用メニュー（２年目）'!$AI29))</f>
        <v>23500</v>
      </c>
      <c r="M25" s="490">
        <f>IF($C25="","",IF('5-1.併用メニュー（２年目）'!$AO29="","",'5-1.併用メニュー（２年目）'!$AO29))</f>
        <v>54100</v>
      </c>
      <c r="N25" s="679">
        <f>IF($C25="","",IF('5-1.併用メニュー（２年目）'!$AP29="","",'5-1.併用メニュー（２年目）'!$AP29))</f>
        <v>1504500.8</v>
      </c>
      <c r="O25" s="490">
        <f t="shared" si="0"/>
        <v>33749.199999999953</v>
      </c>
      <c r="P25" s="651"/>
      <c r="R25" s="19"/>
    </row>
    <row r="26" spans="2:21" ht="24" customHeight="1" x14ac:dyDescent="0.15">
      <c r="B26" s="658">
        <v>16</v>
      </c>
      <c r="C26" s="669">
        <f>IF('5-1.併用メニュー（２年目）'!$C30="","",'5-1.併用メニュー（２年目）'!C$15)</f>
        <v>1040</v>
      </c>
      <c r="D26" s="419">
        <f>IF($C26="","",IF('5-1.併用メニュー（２年目）'!$D30="","",'5-1.併用メニュー（２年目）'!$D30))</f>
        <v>0</v>
      </c>
      <c r="E26" s="669">
        <f>IF($C26="","",IF('5-1.併用メニュー（２年目）'!$E30="","",'5-1.併用メニュー（２年目）'!$E30))</f>
        <v>1040</v>
      </c>
      <c r="F26" s="669">
        <f>IF($C26="","",IF('5-1.併用メニュー（２年目）'!$F30="","",'5-1.併用メニュー（２年目）'!$F30))</f>
        <v>15</v>
      </c>
      <c r="G26" s="679">
        <f>IF($C26="","",IF('5-1.併用メニュー（２年目）'!$G30="","",'5-1.併用メニュー（２年目）'!$G30))</f>
        <v>35</v>
      </c>
      <c r="H26" s="679">
        <f>IF($C26="","",IF('5-1.併用メニュー（２年目）'!$I30="","",'5-1.併用メニュー（２年目）'!$I30))</f>
        <v>158166.66666666666</v>
      </c>
      <c r="I26" s="490">
        <f>IF($C26="","",IF('5-1.併用メニュー（２年目）'!$J30="","",'5-1.併用メニュー（２年目）'!$J30))</f>
        <v>160166.66666666666</v>
      </c>
      <c r="J26" s="679">
        <f>IF($C26="","",IF('5-1.併用メニュー（２年目）'!$K30="","",'5-1.併用メニュー（２年目）'!$K30))</f>
        <v>1922000</v>
      </c>
      <c r="K26" s="679">
        <f>IF($C26="","",IF('5-1.併用メニュー（２年目）'!$Z30="","",'5-1.併用メニュー（２年目）'!$Z30))</f>
        <v>285996</v>
      </c>
      <c r="L26" s="490">
        <f>IF($C26="","",IF('5-1.併用メニュー（２年目）'!$AI30="","",'5-1.併用メニュー（２年目）'!$AI30))</f>
        <v>25400</v>
      </c>
      <c r="M26" s="490">
        <f>IF($C26="","",IF('5-1.併用メニュー（２年目）'!$AO30="","",'5-1.併用メニュー（２年目）'!$AO30))</f>
        <v>57900</v>
      </c>
      <c r="N26" s="679">
        <f>IF($C26="","",IF('5-1.併用メニュー（２年目）'!$AP30="","",'5-1.併用メニュー（２年目）'!$AP30))</f>
        <v>1552704</v>
      </c>
      <c r="O26" s="490">
        <f t="shared" si="0"/>
        <v>48203.199999999953</v>
      </c>
      <c r="P26" s="651"/>
      <c r="R26" s="19"/>
    </row>
    <row r="27" spans="2:21" ht="24" customHeight="1" x14ac:dyDescent="0.15">
      <c r="B27" s="658">
        <v>17</v>
      </c>
      <c r="C27" s="669" t="str">
        <f>IF('5-1.併用メニュー（２年目）'!$C31="","",'5-1.併用メニュー（２年目）'!C$15)</f>
        <v/>
      </c>
      <c r="D27" s="419" t="str">
        <f>IF($C27="","",IF('5-1.併用メニュー（２年目）'!$D31="","",'5-1.併用メニュー（２年目）'!$D31))</f>
        <v/>
      </c>
      <c r="E27" s="669" t="str">
        <f>IF($C27="","",IF('5-1.併用メニュー（２年目）'!$E31="","",'5-1.併用メニュー（２年目）'!$E31))</f>
        <v/>
      </c>
      <c r="F27" s="669" t="str">
        <f>IF($C27="","",IF('5-1.併用メニュー（２年目）'!$F31="","",'5-1.併用メニュー（２年目）'!$F31))</f>
        <v/>
      </c>
      <c r="G27" s="679" t="str">
        <f>IF($C27="","",IF('5-1.併用メニュー（２年目）'!$G31="","",'5-1.併用メニュー（２年目）'!$G31))</f>
        <v/>
      </c>
      <c r="H27" s="679" t="str">
        <f>IF($C27="","",IF('5-1.併用メニュー（２年目）'!$I31="","",'5-1.併用メニュー（２年目）'!$I31))</f>
        <v/>
      </c>
      <c r="I27" s="490" t="str">
        <f>IF($C27="","",IF('5-1.併用メニュー（２年目）'!$J31="","",'5-1.併用メニュー（２年目）'!$J31))</f>
        <v/>
      </c>
      <c r="J27" s="679" t="str">
        <f>IF($C27="","",IF('5-1.併用メニュー（２年目）'!$K31="","",'5-1.併用メニュー（２年目）'!$K31))</f>
        <v/>
      </c>
      <c r="K27" s="679" t="str">
        <f>IF($C27="","",IF('5-1.併用メニュー（２年目）'!$Z31="","",'5-1.併用メニュー（２年目）'!$Z31))</f>
        <v/>
      </c>
      <c r="L27" s="490" t="str">
        <f>IF($C27="","",IF('5-1.併用メニュー（２年目）'!$AI31="","",'5-1.併用メニュー（２年目）'!$AI31))</f>
        <v/>
      </c>
      <c r="M27" s="490" t="str">
        <f>IF($C27="","",IF('5-1.併用メニュー（２年目）'!$AO31="","",'5-1.併用メニュー（２年目）'!$AO31))</f>
        <v/>
      </c>
      <c r="N27" s="679" t="str">
        <f>IF($C27="","",IF('5-1.併用メニュー（２年目）'!$AP31="","",'5-1.併用メニュー（２年目）'!$AP31))</f>
        <v/>
      </c>
      <c r="O27" s="490" t="str">
        <f t="shared" si="0"/>
        <v/>
      </c>
      <c r="P27" s="651"/>
      <c r="R27" s="19"/>
    </row>
    <row r="28" spans="2:21" ht="24" customHeight="1" x14ac:dyDescent="0.15">
      <c r="B28" s="658">
        <v>18</v>
      </c>
      <c r="C28" s="669" t="str">
        <f>IF('5-1.併用メニュー（２年目）'!$C32="","",'5-1.併用メニュー（２年目）'!C$15)</f>
        <v/>
      </c>
      <c r="D28" s="419" t="str">
        <f>IF($C28="","",IF('5-1.併用メニュー（２年目）'!$D32="","",'5-1.併用メニュー（２年目）'!$D32))</f>
        <v/>
      </c>
      <c r="E28" s="669" t="str">
        <f>IF($C28="","",IF('5-1.併用メニュー（２年目）'!$E32="","",'5-1.併用メニュー（２年目）'!$E32))</f>
        <v/>
      </c>
      <c r="F28" s="669" t="str">
        <f>IF($C28="","",IF('5-1.併用メニュー（２年目）'!$F32="","",'5-1.併用メニュー（２年目）'!$F32))</f>
        <v/>
      </c>
      <c r="G28" s="679" t="str">
        <f>IF($C28="","",IF('5-1.併用メニュー（２年目）'!$G32="","",'5-1.併用メニュー（２年目）'!$G32))</f>
        <v/>
      </c>
      <c r="H28" s="679" t="str">
        <f>IF($C28="","",IF('5-1.併用メニュー（２年目）'!$I32="","",'5-1.併用メニュー（２年目）'!$I32))</f>
        <v/>
      </c>
      <c r="I28" s="490" t="str">
        <f>IF($C28="","",IF('5-1.併用メニュー（２年目）'!$J32="","",'5-1.併用メニュー（２年目）'!$J32))</f>
        <v/>
      </c>
      <c r="J28" s="679" t="str">
        <f>IF($C28="","",IF('5-1.併用メニュー（２年目）'!$K32="","",'5-1.併用メニュー（２年目）'!$K32))</f>
        <v/>
      </c>
      <c r="K28" s="679" t="str">
        <f>IF($C28="","",IF('5-1.併用メニュー（２年目）'!$Z32="","",'5-1.併用メニュー（２年目）'!$Z32))</f>
        <v/>
      </c>
      <c r="L28" s="490" t="str">
        <f>IF($C28="","",IF('5-1.併用メニュー（２年目）'!$AI32="","",'5-1.併用メニュー（２年目）'!$AI32))</f>
        <v/>
      </c>
      <c r="M28" s="490" t="str">
        <f>IF($C28="","",IF('5-1.併用メニュー（２年目）'!$AO32="","",'5-1.併用メニュー（２年目）'!$AO32))</f>
        <v/>
      </c>
      <c r="N28" s="679" t="str">
        <f>IF($C28="","",IF('5-1.併用メニュー（２年目）'!$AP32="","",'5-1.併用メニュー（２年目）'!$AP32))</f>
        <v/>
      </c>
      <c r="O28" s="490" t="str">
        <f t="shared" si="0"/>
        <v/>
      </c>
      <c r="P28" s="651"/>
      <c r="R28" s="19"/>
    </row>
    <row r="29" spans="2:21" ht="24" customHeight="1" x14ac:dyDescent="0.15">
      <c r="B29" s="658">
        <v>19</v>
      </c>
      <c r="C29" s="669" t="str">
        <f>IF('5-1.併用メニュー（２年目）'!$C33="","",'5-1.併用メニュー（２年目）'!C$15)</f>
        <v/>
      </c>
      <c r="D29" s="419" t="str">
        <f>IF($C29="","",IF('5-1.併用メニュー（２年目）'!$D33="","",'5-1.併用メニュー（２年目）'!$D33))</f>
        <v/>
      </c>
      <c r="E29" s="669" t="str">
        <f>IF($C29="","",IF('5-1.併用メニュー（２年目）'!$E33="","",'5-1.併用メニュー（２年目）'!$E33))</f>
        <v/>
      </c>
      <c r="F29" s="669" t="str">
        <f>IF($C29="","",IF('5-1.併用メニュー（２年目）'!$F33="","",'5-1.併用メニュー（２年目）'!$F33))</f>
        <v/>
      </c>
      <c r="G29" s="679" t="str">
        <f>IF($C29="","",IF('5-1.併用メニュー（２年目）'!$G33="","",'5-1.併用メニュー（２年目）'!$G33))</f>
        <v/>
      </c>
      <c r="H29" s="679" t="str">
        <f>IF($C29="","",IF('5-1.併用メニュー（２年目）'!$I33="","",'5-1.併用メニュー（２年目）'!$I33))</f>
        <v/>
      </c>
      <c r="I29" s="490" t="str">
        <f>IF($C29="","",IF('5-1.併用メニュー（２年目）'!$J33="","",'5-1.併用メニュー（２年目）'!$J33))</f>
        <v/>
      </c>
      <c r="J29" s="679" t="str">
        <f>IF($C29="","",IF('5-1.併用メニュー（２年目）'!$K33="","",'5-1.併用メニュー（２年目）'!$K33))</f>
        <v/>
      </c>
      <c r="K29" s="679" t="str">
        <f>IF($C29="","",IF('5-1.併用メニュー（２年目）'!$Z33="","",'5-1.併用メニュー（２年目）'!$Z33))</f>
        <v/>
      </c>
      <c r="L29" s="490" t="str">
        <f>IF($C29="","",IF('5-1.併用メニュー（２年目）'!$AI33="","",'5-1.併用メニュー（２年目）'!$AI33))</f>
        <v/>
      </c>
      <c r="M29" s="490" t="str">
        <f>IF($C29="","",IF('5-1.併用メニュー（２年目）'!$AO33="","",'5-1.併用メニュー（２年目）'!$AO33))</f>
        <v/>
      </c>
      <c r="N29" s="679" t="str">
        <f>IF($C29="","",IF('5-1.併用メニュー（２年目）'!$AP33="","",'5-1.併用メニュー（２年目）'!$AP33))</f>
        <v/>
      </c>
      <c r="O29" s="490" t="str">
        <f t="shared" si="0"/>
        <v/>
      </c>
      <c r="P29" s="651"/>
      <c r="R29" s="19"/>
    </row>
    <row r="30" spans="2:21" ht="24" customHeight="1" x14ac:dyDescent="0.15">
      <c r="B30" s="658">
        <v>20</v>
      </c>
      <c r="C30" s="669" t="str">
        <f>IF('5-1.併用メニュー（２年目）'!$C34="","",'5-1.併用メニュー（２年目）'!C$15)</f>
        <v/>
      </c>
      <c r="D30" s="419" t="str">
        <f>IF($C30="","",IF('5-1.併用メニュー（２年目）'!$D34="","",'5-1.併用メニュー（２年目）'!$D34))</f>
        <v/>
      </c>
      <c r="E30" s="669" t="str">
        <f>IF($C30="","",IF('5-1.併用メニュー（２年目）'!$E34="","",'5-1.併用メニュー（２年目）'!$E34))</f>
        <v/>
      </c>
      <c r="F30" s="669" t="str">
        <f>IF($C30="","",IF('5-1.併用メニュー（２年目）'!$F34="","",'5-1.併用メニュー（２年目）'!$F34))</f>
        <v/>
      </c>
      <c r="G30" s="679" t="str">
        <f>IF($C30="","",IF('5-1.併用メニュー（２年目）'!$G34="","",'5-1.併用メニュー（２年目）'!$G34))</f>
        <v/>
      </c>
      <c r="H30" s="679" t="str">
        <f>IF($C30="","",IF('5-1.併用メニュー（２年目）'!$I34="","",'5-1.併用メニュー（２年目）'!$I34))</f>
        <v/>
      </c>
      <c r="I30" s="490" t="str">
        <f>IF($C30="","",IF('5-1.併用メニュー（２年目）'!$J34="","",'5-1.併用メニュー（２年目）'!$J34))</f>
        <v/>
      </c>
      <c r="J30" s="679" t="str">
        <f>IF($C30="","",IF('5-1.併用メニュー（２年目）'!$K34="","",'5-1.併用メニュー（２年目）'!$K34))</f>
        <v/>
      </c>
      <c r="K30" s="679" t="str">
        <f>IF($C30="","",IF('5-1.併用メニュー（２年目）'!$Z34="","",'5-1.併用メニュー（２年目）'!$Z34))</f>
        <v/>
      </c>
      <c r="L30" s="490" t="str">
        <f>IF($C30="","",IF('5-1.併用メニュー（２年目）'!$AI34="","",'5-1.併用メニュー（２年目）'!$AI34))</f>
        <v/>
      </c>
      <c r="M30" s="490" t="str">
        <f>IF($C30="","",IF('5-1.併用メニュー（２年目）'!$AO34="","",'5-1.併用メニュー（２年目）'!$AO34))</f>
        <v/>
      </c>
      <c r="N30" s="679" t="str">
        <f>IF($C30="","",IF('5-1.併用メニュー（２年目）'!$AP34="","",'5-1.併用メニュー（２年目）'!$AP34))</f>
        <v/>
      </c>
      <c r="O30" s="490" t="str">
        <f t="shared" si="0"/>
        <v/>
      </c>
      <c r="P30" s="651"/>
      <c r="R30" s="19"/>
    </row>
    <row r="31" spans="2:21" ht="24" customHeight="1" x14ac:dyDescent="0.15">
      <c r="B31" s="658">
        <v>21</v>
      </c>
      <c r="C31" s="669" t="str">
        <f>IF('5-1.併用メニュー（２年目）'!$C35="","",'5-1.併用メニュー（２年目）'!C$15)</f>
        <v/>
      </c>
      <c r="D31" s="419" t="str">
        <f>IF($C31="","",IF('5-1.併用メニュー（２年目）'!$D35="","",'5-1.併用メニュー（２年目）'!$D35))</f>
        <v/>
      </c>
      <c r="E31" s="669" t="str">
        <f>IF($C31="","",IF('5-1.併用メニュー（２年目）'!$E35="","",'5-1.併用メニュー（２年目）'!$E35))</f>
        <v/>
      </c>
      <c r="F31" s="669" t="str">
        <f>IF($C31="","",IF('5-1.併用メニュー（２年目）'!$F35="","",'5-1.併用メニュー（２年目）'!$F35))</f>
        <v/>
      </c>
      <c r="G31" s="679" t="str">
        <f>IF($C31="","",IF('5-1.併用メニュー（２年目）'!$G35="","",'5-1.併用メニュー（２年目）'!$G35))</f>
        <v/>
      </c>
      <c r="H31" s="679" t="str">
        <f>IF($C31="","",IF('5-1.併用メニュー（２年目）'!$I35="","",'5-1.併用メニュー（２年目）'!$I35))</f>
        <v/>
      </c>
      <c r="I31" s="490" t="str">
        <f>IF($C31="","",IF('5-1.併用メニュー（２年目）'!$J35="","",'5-1.併用メニュー（２年目）'!$J35))</f>
        <v/>
      </c>
      <c r="J31" s="679" t="str">
        <f>IF($C31="","",IF('5-1.併用メニュー（２年目）'!$K35="","",'5-1.併用メニュー（２年目）'!$K35))</f>
        <v/>
      </c>
      <c r="K31" s="679" t="str">
        <f>IF($C31="","",IF('5-1.併用メニュー（２年目）'!$Z35="","",'5-1.併用メニュー（２年目）'!$Z35))</f>
        <v/>
      </c>
      <c r="L31" s="490" t="str">
        <f>IF($C31="","",IF('5-1.併用メニュー（２年目）'!$AI35="","",'5-1.併用メニュー（２年目）'!$AI35))</f>
        <v/>
      </c>
      <c r="M31" s="490" t="str">
        <f>IF($C31="","",IF('5-1.併用メニュー（２年目）'!$AO35="","",'5-1.併用メニュー（２年目）'!$AO35))</f>
        <v/>
      </c>
      <c r="N31" s="679" t="str">
        <f>IF($C31="","",IF('5-1.併用メニュー（２年目）'!$AP35="","",'5-1.併用メニュー（２年目）'!$AP35))</f>
        <v/>
      </c>
      <c r="O31" s="490" t="str">
        <f t="shared" si="0"/>
        <v/>
      </c>
      <c r="P31" s="651"/>
      <c r="R31" s="19"/>
    </row>
    <row r="32" spans="2:21" ht="24" customHeight="1" x14ac:dyDescent="0.15">
      <c r="B32" s="658">
        <v>22</v>
      </c>
      <c r="C32" s="669" t="str">
        <f>IF('5-1.併用メニュー（２年目）'!$C36="","",'5-1.併用メニュー（２年目）'!C$15)</f>
        <v/>
      </c>
      <c r="D32" s="419" t="str">
        <f>IF($C32="","",IF('5-1.併用メニュー（２年目）'!$D36="","",'5-1.併用メニュー（２年目）'!$D36))</f>
        <v/>
      </c>
      <c r="E32" s="669" t="str">
        <f>IF($C32="","",IF('5-1.併用メニュー（２年目）'!$E36="","",'5-1.併用メニュー（２年目）'!$E36))</f>
        <v/>
      </c>
      <c r="F32" s="669" t="str">
        <f>IF($C32="","",IF('5-1.併用メニュー（２年目）'!$F36="","",'5-1.併用メニュー（２年目）'!$F36))</f>
        <v/>
      </c>
      <c r="G32" s="679" t="str">
        <f>IF($C32="","",IF('5-1.併用メニュー（２年目）'!$G36="","",'5-1.併用メニュー（２年目）'!$G36))</f>
        <v/>
      </c>
      <c r="H32" s="679" t="str">
        <f>IF($C32="","",IF('5-1.併用メニュー（２年目）'!$I36="","",'5-1.併用メニュー（２年目）'!$I36))</f>
        <v/>
      </c>
      <c r="I32" s="490" t="str">
        <f>IF($C32="","",IF('5-1.併用メニュー（２年目）'!$J36="","",'5-1.併用メニュー（２年目）'!$J36))</f>
        <v/>
      </c>
      <c r="J32" s="679" t="str">
        <f>IF($C32="","",IF('5-1.併用メニュー（２年目）'!$K36="","",'5-1.併用メニュー（２年目）'!$K36))</f>
        <v/>
      </c>
      <c r="K32" s="679" t="str">
        <f>IF($C32="","",IF('5-1.併用メニュー（２年目）'!$Z36="","",'5-1.併用メニュー（２年目）'!$Z36))</f>
        <v/>
      </c>
      <c r="L32" s="490" t="str">
        <f>IF($C32="","",IF('5-1.併用メニュー（２年目）'!$AI36="","",'5-1.併用メニュー（２年目）'!$AI36))</f>
        <v/>
      </c>
      <c r="M32" s="490" t="str">
        <f>IF($C32="","",IF('5-1.併用メニュー（２年目）'!$AO36="","",'5-1.併用メニュー（２年目）'!$AO36))</f>
        <v/>
      </c>
      <c r="N32" s="679" t="str">
        <f>IF($C32="","",IF('5-1.併用メニュー（２年目）'!$AP36="","",'5-1.併用メニュー（２年目）'!$AP36))</f>
        <v/>
      </c>
      <c r="O32" s="490" t="str">
        <f t="shared" si="0"/>
        <v/>
      </c>
      <c r="P32" s="651"/>
      <c r="R32" s="19"/>
    </row>
    <row r="33" spans="2:18" ht="24" customHeight="1" x14ac:dyDescent="0.15">
      <c r="B33" s="658">
        <v>23</v>
      </c>
      <c r="C33" s="669" t="str">
        <f>IF('5-1.併用メニュー（２年目）'!$C37="","",'5-1.併用メニュー（２年目）'!C$15)</f>
        <v/>
      </c>
      <c r="D33" s="419" t="str">
        <f>IF($C33="","",IF('5-1.併用メニュー（２年目）'!$D37="","",'5-1.併用メニュー（２年目）'!$D37))</f>
        <v/>
      </c>
      <c r="E33" s="669" t="str">
        <f>IF($C33="","",IF('5-1.併用メニュー（２年目）'!$E37="","",'5-1.併用メニュー（２年目）'!$E37))</f>
        <v/>
      </c>
      <c r="F33" s="669" t="str">
        <f>IF($C33="","",IF('5-1.併用メニュー（２年目）'!$F37="","",'5-1.併用メニュー（２年目）'!$F37))</f>
        <v/>
      </c>
      <c r="G33" s="679" t="str">
        <f>IF($C33="","",IF('5-1.併用メニュー（２年目）'!$G37="","",'5-1.併用メニュー（２年目）'!$G37))</f>
        <v/>
      </c>
      <c r="H33" s="679" t="str">
        <f>IF($C33="","",IF('5-1.併用メニュー（２年目）'!$I37="","",'5-1.併用メニュー（２年目）'!$I37))</f>
        <v/>
      </c>
      <c r="I33" s="490" t="str">
        <f>IF($C33="","",IF('5-1.併用メニュー（２年目）'!$J37="","",'5-1.併用メニュー（２年目）'!$J37))</f>
        <v/>
      </c>
      <c r="J33" s="679" t="str">
        <f>IF($C33="","",IF('5-1.併用メニュー（２年目）'!$K37="","",'5-1.併用メニュー（２年目）'!$K37))</f>
        <v/>
      </c>
      <c r="K33" s="679" t="str">
        <f>IF($C33="","",IF('5-1.併用メニュー（２年目）'!$Z37="","",'5-1.併用メニュー（２年目）'!$Z37))</f>
        <v/>
      </c>
      <c r="L33" s="490" t="str">
        <f>IF($C33="","",IF('5-1.併用メニュー（２年目）'!$AI37="","",'5-1.併用メニュー（２年目）'!$AI37))</f>
        <v/>
      </c>
      <c r="M33" s="490" t="str">
        <f>IF($C33="","",IF('5-1.併用メニュー（２年目）'!$AO37="","",'5-1.併用メニュー（２年目）'!$AO37))</f>
        <v/>
      </c>
      <c r="N33" s="679" t="str">
        <f>IF($C33="","",IF('5-1.併用メニュー（２年目）'!$AP37="","",'5-1.併用メニュー（２年目）'!$AP37))</f>
        <v/>
      </c>
      <c r="O33" s="490" t="str">
        <f t="shared" si="0"/>
        <v/>
      </c>
      <c r="P33" s="651"/>
      <c r="R33" s="19"/>
    </row>
    <row r="34" spans="2:18" ht="24" customHeight="1" x14ac:dyDescent="0.15">
      <c r="B34" s="658">
        <v>24</v>
      </c>
      <c r="C34" s="669" t="str">
        <f>IF('5-1.併用メニュー（２年目）'!$C38="","",'5-1.併用メニュー（２年目）'!C$15)</f>
        <v/>
      </c>
      <c r="D34" s="419" t="str">
        <f>IF($C34="","",IF('5-1.併用メニュー（２年目）'!$D38="","",'5-1.併用メニュー（２年目）'!$D38))</f>
        <v/>
      </c>
      <c r="E34" s="669" t="str">
        <f>IF($C34="","",IF('5-1.併用メニュー（２年目）'!$E38="","",'5-1.併用メニュー（２年目）'!$E38))</f>
        <v/>
      </c>
      <c r="F34" s="669" t="str">
        <f>IF($C34="","",IF('5-1.併用メニュー（２年目）'!$F38="","",'5-1.併用メニュー（２年目）'!$F38))</f>
        <v/>
      </c>
      <c r="G34" s="679" t="str">
        <f>IF($C34="","",IF('5-1.併用メニュー（２年目）'!$G38="","",'5-1.併用メニュー（２年目）'!$G38))</f>
        <v/>
      </c>
      <c r="H34" s="679" t="str">
        <f>IF($C34="","",IF('5-1.併用メニュー（２年目）'!$I38="","",'5-1.併用メニュー（２年目）'!$I38))</f>
        <v/>
      </c>
      <c r="I34" s="490" t="str">
        <f>IF($C34="","",IF('5-1.併用メニュー（２年目）'!$J38="","",'5-1.併用メニュー（２年目）'!$J38))</f>
        <v/>
      </c>
      <c r="J34" s="679" t="str">
        <f>IF($C34="","",IF('5-1.併用メニュー（２年目）'!$K38="","",'5-1.併用メニュー（２年目）'!$K38))</f>
        <v/>
      </c>
      <c r="K34" s="679" t="str">
        <f>IF($C34="","",IF('5-1.併用メニュー（２年目）'!$Z38="","",'5-1.併用メニュー（２年目）'!$Z38))</f>
        <v/>
      </c>
      <c r="L34" s="490" t="str">
        <f>IF($C34="","",IF('5-1.併用メニュー（２年目）'!$AI38="","",'5-1.併用メニュー（２年目）'!$AI38))</f>
        <v/>
      </c>
      <c r="M34" s="490" t="str">
        <f>IF($C34="","",IF('5-1.併用メニュー（２年目）'!$AO38="","",'5-1.併用メニュー（２年目）'!$AO38))</f>
        <v/>
      </c>
      <c r="N34" s="679" t="str">
        <f>IF($C34="","",IF('5-1.併用メニュー（２年目）'!$AP38="","",'5-1.併用メニュー（２年目）'!$AP38))</f>
        <v/>
      </c>
      <c r="O34" s="490" t="str">
        <f t="shared" si="0"/>
        <v/>
      </c>
      <c r="P34" s="651"/>
      <c r="R34" s="19"/>
    </row>
    <row r="35" spans="2:18" ht="24" customHeight="1" x14ac:dyDescent="0.15">
      <c r="B35" s="658">
        <v>25</v>
      </c>
      <c r="C35" s="669" t="str">
        <f>IF('5-1.併用メニュー（２年目）'!$C39="","",'5-1.併用メニュー（２年目）'!C$15)</f>
        <v/>
      </c>
      <c r="D35" s="419" t="str">
        <f>IF($C35="","",IF('5-1.併用メニュー（２年目）'!$D39="","",'5-1.併用メニュー（２年目）'!$D39))</f>
        <v/>
      </c>
      <c r="E35" s="669" t="str">
        <f>IF($C35="","",IF('5-1.併用メニュー（２年目）'!$E39="","",'5-1.併用メニュー（２年目）'!$E39))</f>
        <v/>
      </c>
      <c r="F35" s="669" t="str">
        <f>IF($C35="","",IF('5-1.併用メニュー（２年目）'!$F39="","",'5-1.併用メニュー（２年目）'!$F39))</f>
        <v/>
      </c>
      <c r="G35" s="679" t="str">
        <f>IF($C35="","",IF('5-1.併用メニュー（２年目）'!$G39="","",'5-1.併用メニュー（２年目）'!$G39))</f>
        <v/>
      </c>
      <c r="H35" s="679" t="str">
        <f>IF($C35="","",IF('5-1.併用メニュー（２年目）'!$I39="","",'5-1.併用メニュー（２年目）'!$I39))</f>
        <v/>
      </c>
      <c r="I35" s="490" t="str">
        <f>IF($C35="","",IF('5-1.併用メニュー（２年目）'!$J39="","",'5-1.併用メニュー（２年目）'!$J39))</f>
        <v/>
      </c>
      <c r="J35" s="679" t="str">
        <f>IF($C35="","",IF('5-1.併用メニュー（２年目）'!$K39="","",'5-1.併用メニュー（２年目）'!$K39))</f>
        <v/>
      </c>
      <c r="K35" s="679" t="str">
        <f>IF($C35="","",IF('5-1.併用メニュー（２年目）'!$Z39="","",'5-1.併用メニュー（２年目）'!$Z39))</f>
        <v/>
      </c>
      <c r="L35" s="490" t="str">
        <f>IF($C35="","",IF('5-1.併用メニュー（２年目）'!$AI39="","",'5-1.併用メニュー（２年目）'!$AI39))</f>
        <v/>
      </c>
      <c r="M35" s="490" t="str">
        <f>IF($C35="","",IF('5-1.併用メニュー（２年目）'!$AO39="","",'5-1.併用メニュー（２年目）'!$AO39))</f>
        <v/>
      </c>
      <c r="N35" s="679" t="str">
        <f>IF($C35="","",IF('5-1.併用メニュー（２年目）'!$AP39="","",'5-1.併用メニュー（２年目）'!$AP39))</f>
        <v/>
      </c>
      <c r="O35" s="490" t="str">
        <f t="shared" si="0"/>
        <v/>
      </c>
      <c r="P35" s="651"/>
      <c r="R35" s="19"/>
    </row>
    <row r="36" spans="2:18" ht="24" customHeight="1" x14ac:dyDescent="0.15">
      <c r="B36" s="658">
        <v>26</v>
      </c>
      <c r="C36" s="669" t="str">
        <f>IF('5-1.併用メニュー（２年目）'!$C40="","",'5-1.併用メニュー（２年目）'!C$15)</f>
        <v/>
      </c>
      <c r="D36" s="419" t="str">
        <f>IF($C36="","",IF('5-1.併用メニュー（２年目）'!$D40="","",'5-1.併用メニュー（２年目）'!$D40))</f>
        <v/>
      </c>
      <c r="E36" s="669" t="str">
        <f>IF($C36="","",IF('5-1.併用メニュー（２年目）'!$E40="","",'5-1.併用メニュー（２年目）'!$E40))</f>
        <v/>
      </c>
      <c r="F36" s="669" t="str">
        <f>IF($C36="","",IF('5-1.併用メニュー（２年目）'!$F40="","",'5-1.併用メニュー（２年目）'!$F40))</f>
        <v/>
      </c>
      <c r="G36" s="679" t="str">
        <f>IF($C36="","",IF('5-1.併用メニュー（２年目）'!$G40="","",'5-1.併用メニュー（２年目）'!$G40))</f>
        <v/>
      </c>
      <c r="H36" s="679" t="str">
        <f>IF($C36="","",IF('5-1.併用メニュー（２年目）'!$I40="","",'5-1.併用メニュー（２年目）'!$I40))</f>
        <v/>
      </c>
      <c r="I36" s="490" t="str">
        <f>IF($C36="","",IF('5-1.併用メニュー（２年目）'!$J40="","",'5-1.併用メニュー（２年目）'!$J40))</f>
        <v/>
      </c>
      <c r="J36" s="679" t="str">
        <f>IF($C36="","",IF('5-1.併用メニュー（２年目）'!$K40="","",'5-1.併用メニュー（２年目）'!$K40))</f>
        <v/>
      </c>
      <c r="K36" s="679" t="str">
        <f>IF($C36="","",IF('5-1.併用メニュー（２年目）'!$Z40="","",'5-1.併用メニュー（２年目）'!$Z40))</f>
        <v/>
      </c>
      <c r="L36" s="490" t="str">
        <f>IF($C36="","",IF('5-1.併用メニュー（２年目）'!$AI40="","",'5-1.併用メニュー（２年目）'!$AI40))</f>
        <v/>
      </c>
      <c r="M36" s="490" t="str">
        <f>IF($C36="","",IF('5-1.併用メニュー（２年目）'!$AO40="","",'5-1.併用メニュー（２年目）'!$AO40))</f>
        <v/>
      </c>
      <c r="N36" s="679" t="str">
        <f>IF($C36="","",IF('5-1.併用メニュー（２年目）'!$AP40="","",'5-1.併用メニュー（２年目）'!$AP40))</f>
        <v/>
      </c>
      <c r="O36" s="490" t="str">
        <f t="shared" si="0"/>
        <v/>
      </c>
      <c r="P36" s="651"/>
      <c r="R36" s="19"/>
    </row>
    <row r="37" spans="2:18" ht="24" customHeight="1" x14ac:dyDescent="0.15">
      <c r="B37" s="658">
        <v>27</v>
      </c>
      <c r="C37" s="669" t="str">
        <f>IF('5-1.併用メニュー（２年目）'!$C41="","",'5-1.併用メニュー（２年目）'!C$15)</f>
        <v/>
      </c>
      <c r="D37" s="419" t="str">
        <f>IF($C37="","",IF('5-1.併用メニュー（２年目）'!$D41="","",'5-1.併用メニュー（２年目）'!$D41))</f>
        <v/>
      </c>
      <c r="E37" s="669" t="str">
        <f>IF($C37="","",IF('5-1.併用メニュー（２年目）'!$E41="","",'5-1.併用メニュー（２年目）'!$E41))</f>
        <v/>
      </c>
      <c r="F37" s="669" t="str">
        <f>IF($C37="","",IF('5-1.併用メニュー（２年目）'!$F41="","",'5-1.併用メニュー（２年目）'!$F41))</f>
        <v/>
      </c>
      <c r="G37" s="679" t="str">
        <f>IF($C37="","",IF('5-1.併用メニュー（２年目）'!$G41="","",'5-1.併用メニュー（２年目）'!$G41))</f>
        <v/>
      </c>
      <c r="H37" s="679" t="str">
        <f>IF($C37="","",IF('5-1.併用メニュー（２年目）'!$I41="","",'5-1.併用メニュー（２年目）'!$I41))</f>
        <v/>
      </c>
      <c r="I37" s="490" t="str">
        <f>IF($C37="","",IF('5-1.併用メニュー（２年目）'!$J41="","",'5-1.併用メニュー（２年目）'!$J41))</f>
        <v/>
      </c>
      <c r="J37" s="679" t="str">
        <f>IF($C37="","",IF('5-1.併用メニュー（２年目）'!$K41="","",'5-1.併用メニュー（２年目）'!$K41))</f>
        <v/>
      </c>
      <c r="K37" s="679" t="str">
        <f>IF($C37="","",IF('5-1.併用メニュー（２年目）'!$Z41="","",'5-1.併用メニュー（２年目）'!$Z41))</f>
        <v/>
      </c>
      <c r="L37" s="490" t="str">
        <f>IF($C37="","",IF('5-1.併用メニュー（２年目）'!$AI41="","",'5-1.併用メニュー（２年目）'!$AI41))</f>
        <v/>
      </c>
      <c r="M37" s="490" t="str">
        <f>IF($C37="","",IF('5-1.併用メニュー（２年目）'!$AO41="","",'5-1.併用メニュー（２年目）'!$AO41))</f>
        <v/>
      </c>
      <c r="N37" s="679" t="str">
        <f>IF($C37="","",IF('5-1.併用メニュー（２年目）'!$AP41="","",'5-1.併用メニュー（２年目）'!$AP41))</f>
        <v/>
      </c>
      <c r="O37" s="490" t="str">
        <f t="shared" si="0"/>
        <v/>
      </c>
      <c r="P37" s="651"/>
      <c r="R37" s="19"/>
    </row>
    <row r="38" spans="2:18" ht="24" customHeight="1" x14ac:dyDescent="0.15">
      <c r="B38" s="658">
        <v>28</v>
      </c>
      <c r="C38" s="669" t="str">
        <f>IF('5-1.併用メニュー（２年目）'!$C42="","",'5-1.併用メニュー（２年目）'!C$15)</f>
        <v/>
      </c>
      <c r="D38" s="419" t="str">
        <f>IF($C38="","",IF('5-1.併用メニュー（２年目）'!$D42="","",'5-1.併用メニュー（２年目）'!$D42))</f>
        <v/>
      </c>
      <c r="E38" s="669" t="str">
        <f>IF($C38="","",IF('5-1.併用メニュー（２年目）'!$E42="","",'5-1.併用メニュー（２年目）'!$E42))</f>
        <v/>
      </c>
      <c r="F38" s="669" t="str">
        <f>IF($C38="","",IF('5-1.併用メニュー（２年目）'!$F42="","",'5-1.併用メニュー（２年目）'!$F42))</f>
        <v/>
      </c>
      <c r="G38" s="679" t="str">
        <f>IF($C38="","",IF('5-1.併用メニュー（２年目）'!$G42="","",'5-1.併用メニュー（２年目）'!$G42))</f>
        <v/>
      </c>
      <c r="H38" s="679" t="str">
        <f>IF($C38="","",IF('5-1.併用メニュー（２年目）'!$I42="","",'5-1.併用メニュー（２年目）'!$I42))</f>
        <v/>
      </c>
      <c r="I38" s="490" t="str">
        <f>IF($C38="","",IF('5-1.併用メニュー（２年目）'!$J42="","",'5-1.併用メニュー（２年目）'!$J42))</f>
        <v/>
      </c>
      <c r="J38" s="679" t="str">
        <f>IF($C38="","",IF('5-1.併用メニュー（２年目）'!$K42="","",'5-1.併用メニュー（２年目）'!$K42))</f>
        <v/>
      </c>
      <c r="K38" s="679" t="str">
        <f>IF($C38="","",IF('5-1.併用メニュー（２年目）'!$Z42="","",'5-1.併用メニュー（２年目）'!$Z42))</f>
        <v/>
      </c>
      <c r="L38" s="490" t="str">
        <f>IF($C38="","",IF('5-1.併用メニュー（２年目）'!$AI42="","",'5-1.併用メニュー（２年目）'!$AI42))</f>
        <v/>
      </c>
      <c r="M38" s="490" t="str">
        <f>IF($C38="","",IF('5-1.併用メニュー（２年目）'!$AO42="","",'5-1.併用メニュー（２年目）'!$AO42))</f>
        <v/>
      </c>
      <c r="N38" s="679" t="str">
        <f>IF($C38="","",IF('5-1.併用メニュー（２年目）'!$AP42="","",'5-1.併用メニュー（２年目）'!$AP42))</f>
        <v/>
      </c>
      <c r="O38" s="490" t="str">
        <f t="shared" si="0"/>
        <v/>
      </c>
      <c r="P38" s="651"/>
      <c r="R38" s="19"/>
    </row>
    <row r="39" spans="2:18" ht="24" customHeight="1" x14ac:dyDescent="0.15">
      <c r="B39" s="658">
        <v>29</v>
      </c>
      <c r="C39" s="669" t="str">
        <f>IF('5-1.併用メニュー（２年目）'!$C43="","",'5-1.併用メニュー（２年目）'!C$15)</f>
        <v/>
      </c>
      <c r="D39" s="419" t="str">
        <f>IF($C39="","",IF('5-1.併用メニュー（２年目）'!$D43="","",'5-1.併用メニュー（２年目）'!$D43))</f>
        <v/>
      </c>
      <c r="E39" s="669" t="str">
        <f>IF($C39="","",IF('5-1.併用メニュー（２年目）'!$E43="","",'5-1.併用メニュー（２年目）'!$E43))</f>
        <v/>
      </c>
      <c r="F39" s="669" t="str">
        <f>IF($C39="","",IF('5-1.併用メニュー（２年目）'!$F43="","",'5-1.併用メニュー（２年目）'!$F43))</f>
        <v/>
      </c>
      <c r="G39" s="679" t="str">
        <f>IF($C39="","",IF('5-1.併用メニュー（２年目）'!$G43="","",'5-1.併用メニュー（２年目）'!$G43))</f>
        <v/>
      </c>
      <c r="H39" s="679" t="str">
        <f>IF($C39="","",IF('5-1.併用メニュー（２年目）'!$I43="","",'5-1.併用メニュー（２年目）'!$I43))</f>
        <v/>
      </c>
      <c r="I39" s="490" t="str">
        <f>IF($C39="","",IF('5-1.併用メニュー（２年目）'!$J43="","",'5-1.併用メニュー（２年目）'!$J43))</f>
        <v/>
      </c>
      <c r="J39" s="679" t="str">
        <f>IF($C39="","",IF('5-1.併用メニュー（２年目）'!$K43="","",'5-1.併用メニュー（２年目）'!$K43))</f>
        <v/>
      </c>
      <c r="K39" s="679" t="str">
        <f>IF($C39="","",IF('5-1.併用メニュー（２年目）'!$Z43="","",'5-1.併用メニュー（２年目）'!$Z43))</f>
        <v/>
      </c>
      <c r="L39" s="490" t="str">
        <f>IF($C39="","",IF('5-1.併用メニュー（２年目）'!$AI43="","",'5-1.併用メニュー（２年目）'!$AI43))</f>
        <v/>
      </c>
      <c r="M39" s="490" t="str">
        <f>IF($C39="","",IF('5-1.併用メニュー（２年目）'!$AO43="","",'5-1.併用メニュー（２年目）'!$AO43))</f>
        <v/>
      </c>
      <c r="N39" s="679" t="str">
        <f>IF($C39="","",IF('5-1.併用メニュー（２年目）'!$AP43="","",'5-1.併用メニュー（２年目）'!$AP43))</f>
        <v/>
      </c>
      <c r="O39" s="490" t="str">
        <f t="shared" si="0"/>
        <v/>
      </c>
      <c r="P39" s="651"/>
      <c r="R39" s="19"/>
    </row>
    <row r="40" spans="2:18" ht="24" customHeight="1" x14ac:dyDescent="0.15">
      <c r="B40" s="658">
        <v>30</v>
      </c>
      <c r="C40" s="669" t="str">
        <f>IF('5-1.併用メニュー（２年目）'!$C44="","",'5-1.併用メニュー（２年目）'!C$15)</f>
        <v/>
      </c>
      <c r="D40" s="419" t="str">
        <f>IF($C40="","",IF('5-1.併用メニュー（２年目）'!$D44="","",'5-1.併用メニュー（２年目）'!$D44))</f>
        <v/>
      </c>
      <c r="E40" s="669" t="str">
        <f>IF($C40="","",IF('5-1.併用メニュー（２年目）'!$E44="","",'5-1.併用メニュー（２年目）'!$E44))</f>
        <v/>
      </c>
      <c r="F40" s="669" t="str">
        <f>IF($C40="","",IF('5-1.併用メニュー（２年目）'!$F44="","",'5-1.併用メニュー（２年目）'!$F44))</f>
        <v/>
      </c>
      <c r="G40" s="679" t="str">
        <f>IF($C40="","",IF('5-1.併用メニュー（２年目）'!$G44="","",'5-1.併用メニュー（２年目）'!$G44))</f>
        <v/>
      </c>
      <c r="H40" s="679" t="str">
        <f>IF($C40="","",IF('5-1.併用メニュー（２年目）'!$I44="","",'5-1.併用メニュー（２年目）'!$I44))</f>
        <v/>
      </c>
      <c r="I40" s="490" t="str">
        <f>IF($C40="","",IF('5-1.併用メニュー（２年目）'!$J44="","",'5-1.併用メニュー（２年目）'!$J44))</f>
        <v/>
      </c>
      <c r="J40" s="679" t="str">
        <f>IF($C40="","",IF('5-1.併用メニュー（２年目）'!$K44="","",'5-1.併用メニュー（２年目）'!$K44))</f>
        <v/>
      </c>
      <c r="K40" s="679" t="str">
        <f>IF($C40="","",IF('5-1.併用メニュー（２年目）'!$Z44="","",'5-1.併用メニュー（２年目）'!$Z44))</f>
        <v/>
      </c>
      <c r="L40" s="490" t="str">
        <f>IF($C40="","",IF('5-1.併用メニュー（２年目）'!$AI44="","",'5-1.併用メニュー（２年目）'!$AI44))</f>
        <v/>
      </c>
      <c r="M40" s="490" t="str">
        <f>IF($C40="","",IF('5-1.併用メニュー（２年目）'!$AO44="","",'5-1.併用メニュー（２年目）'!$AO44))</f>
        <v/>
      </c>
      <c r="N40" s="679" t="str">
        <f>IF($C40="","",IF('5-1.併用メニュー（２年目）'!$AP44="","",'5-1.併用メニュー（２年目）'!$AP44))</f>
        <v/>
      </c>
      <c r="O40" s="490" t="str">
        <f t="shared" si="0"/>
        <v/>
      </c>
      <c r="P40" s="651"/>
      <c r="R40" s="19"/>
    </row>
    <row r="41" spans="2:18" x14ac:dyDescent="0.15">
      <c r="R41" s="19"/>
    </row>
    <row r="42" spans="2:18" x14ac:dyDescent="0.15">
      <c r="R42" s="19"/>
    </row>
    <row r="43" spans="2:18" x14ac:dyDescent="0.15">
      <c r="R43" s="19"/>
    </row>
    <row r="44" spans="2:18" x14ac:dyDescent="0.15">
      <c r="R44" s="19"/>
    </row>
    <row r="45" spans="2:18" x14ac:dyDescent="0.15">
      <c r="R45" s="19"/>
    </row>
    <row r="46" spans="2:18" x14ac:dyDescent="0.15">
      <c r="R46" s="19"/>
    </row>
  </sheetData>
  <sheetProtection algorithmName="SHA-512" hashValue="x+t+tr+hxGQsmm3HFQDMwNoqYO+k04bW3mNBo56qMvoLZ41ZL3zJ+OC+oMH1rp+eVxDyKG840m9k+zrtYMLWsw==" saltValue="+1OxMYkGwZC+QWlLTdByig==" spinCount="100000" sheet="1" objects="1" scenarios="1"/>
  <mergeCells count="5">
    <mergeCell ref="R9:S9"/>
    <mergeCell ref="L5:P7"/>
    <mergeCell ref="F5:H5"/>
    <mergeCell ref="F6:G6"/>
    <mergeCell ref="F7:G7"/>
  </mergeCells>
  <phoneticPr fontId="3"/>
  <conditionalFormatting sqref="J11:J40">
    <cfRule type="expression" dxfId="18" priority="86">
      <formula>J11&gt;=$R$15</formula>
    </cfRule>
    <cfRule type="expression" dxfId="17" priority="87">
      <formula>J11&gt;=$R$14</formula>
    </cfRule>
    <cfRule type="expression" dxfId="16" priority="88">
      <formula>J11&gt;$R$13</formula>
    </cfRule>
    <cfRule type="expression" dxfId="15" priority="89">
      <formula>J11&gt;$R$12</formula>
    </cfRule>
    <cfRule type="expression" dxfId="14" priority="90">
      <formula>J11&lt;=$R$11</formula>
    </cfRule>
    <cfRule type="expression" priority="91">
      <formula>$N11&lt;=$R$11</formula>
    </cfRule>
  </conditionalFormatting>
  <conditionalFormatting sqref="P11:P40">
    <cfRule type="expression" dxfId="13" priority="1">
      <formula>$C11=""</formula>
    </cfRule>
    <cfRule type="expression" dxfId="12" priority="2">
      <formula>AND($G11&gt;=20,$J11&gt;=88000)</formula>
    </cfRule>
  </conditionalFormatting>
  <pageMargins left="0.39370078740157483" right="0.39370078740157483" top="0.78740157480314965" bottom="0.59055118110236227" header="0.51181102362204722" footer="0.51181102362204722"/>
  <pageSetup paperSize="9" scale="95" pageOrder="overThenDown" orientation="landscape" r:id="rId1"/>
  <headerFooter alignWithMargins="0">
    <oddFooter>&amp;C&amp;P</oddFooter>
  </headerFooter>
  <rowBreaks count="1" manualBreakCount="1">
    <brk id="25" min="1" max="15" man="1"/>
  </rowBreaks>
  <colBreaks count="2" manualBreakCount="2">
    <brk id="11" min="2" max="24" man="1"/>
    <brk id="16" min="3" max="38"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D0FA-7DE0-4A14-92F2-0EE1AD37876E}">
  <sheetPr>
    <tabColor theme="0" tint="-0.34998626667073579"/>
    <pageSetUpPr autoPageBreaks="0"/>
  </sheetPr>
  <dimension ref="B1:W44"/>
  <sheetViews>
    <sheetView showGridLines="0" zoomScale="110" zoomScaleNormal="110" zoomScaleSheetLayoutView="80" workbookViewId="0">
      <selection activeCell="E2" sqref="E2"/>
    </sheetView>
  </sheetViews>
  <sheetFormatPr defaultRowHeight="14.25" x14ac:dyDescent="0.15"/>
  <cols>
    <col min="1" max="1" width="2.625" style="549" customWidth="1"/>
    <col min="2" max="2" width="6" style="549" customWidth="1"/>
    <col min="3" max="3" width="17.625" style="549" customWidth="1"/>
    <col min="4" max="4" width="9.375" style="549" hidden="1" customWidth="1"/>
    <col min="5" max="5" width="17.625" style="549" customWidth="1"/>
    <col min="6" max="6" width="11.875" style="549" customWidth="1"/>
    <col min="7" max="7" width="17.625" style="549" customWidth="1"/>
    <col min="8" max="8" width="9.625" style="549" customWidth="1"/>
    <col min="9" max="9" width="11.625" style="549" customWidth="1"/>
    <col min="10" max="10" width="14.625" style="549" customWidth="1"/>
    <col min="11" max="12" width="11.625" style="549" customWidth="1"/>
    <col min="13" max="13" width="14.75" style="549" customWidth="1"/>
    <col min="14" max="14" width="12.375" style="549" customWidth="1"/>
    <col min="15" max="20" width="14.625" style="549" customWidth="1"/>
    <col min="21" max="21" width="14" style="549" customWidth="1"/>
    <col min="22" max="22" width="14.75" style="549" customWidth="1"/>
    <col min="23" max="23" width="12" style="549" customWidth="1"/>
    <col min="24" max="16384" width="9" style="549"/>
  </cols>
  <sheetData>
    <row r="1" spans="2:23" s="548" customFormat="1" ht="12" thickBot="1" x14ac:dyDescent="0.2">
      <c r="C1" s="548">
        <v>1</v>
      </c>
      <c r="D1" s="548">
        <v>2</v>
      </c>
      <c r="E1" s="548">
        <v>3</v>
      </c>
      <c r="F1" s="548">
        <v>4</v>
      </c>
      <c r="G1" s="548">
        <v>5</v>
      </c>
      <c r="H1" s="548">
        <v>6</v>
      </c>
      <c r="I1" s="548">
        <v>7</v>
      </c>
      <c r="J1" s="548">
        <v>8</v>
      </c>
      <c r="K1" s="548">
        <v>9</v>
      </c>
      <c r="L1" s="548">
        <v>10</v>
      </c>
      <c r="M1" s="548">
        <v>11</v>
      </c>
      <c r="N1" s="548">
        <v>12</v>
      </c>
      <c r="O1" s="548">
        <v>13</v>
      </c>
      <c r="P1" s="548">
        <v>14</v>
      </c>
      <c r="Q1" s="548">
        <v>15</v>
      </c>
      <c r="R1" s="548">
        <v>16</v>
      </c>
      <c r="S1" s="548">
        <v>17</v>
      </c>
      <c r="T1" s="548">
        <v>18</v>
      </c>
      <c r="U1" s="548">
        <v>19</v>
      </c>
      <c r="V1" s="548">
        <v>20</v>
      </c>
      <c r="W1" s="548">
        <v>21</v>
      </c>
    </row>
    <row r="2" spans="2:23" ht="38.25" customHeight="1" thickBot="1" x14ac:dyDescent="0.25">
      <c r="C2" s="550"/>
      <c r="D2" s="551"/>
      <c r="E2" s="552"/>
      <c r="M2" s="553">
        <f>IF('1-1.従業員データ給与改定案入力画面'!$N$2="","",IF(OR('1-1.従業員データ給与改定案入力画面'!$N$2=2,'1-1.従業員データ給与改定案入力画面'!$N$2=1),"",'1-1.従業員データ給与改定案入力画面'!$N$2))</f>
        <v>3</v>
      </c>
      <c r="N2" s="554"/>
    </row>
    <row r="3" spans="2:23" ht="19.5" customHeight="1" x14ac:dyDescent="0.15">
      <c r="E3" s="555"/>
      <c r="F3" s="555"/>
      <c r="G3" s="555"/>
      <c r="J3" s="554"/>
      <c r="K3" s="554"/>
      <c r="L3" s="554"/>
      <c r="O3" s="556"/>
    </row>
    <row r="4" spans="2:23" ht="24.95" customHeight="1" x14ac:dyDescent="0.15">
      <c r="C4" s="557" t="s">
        <v>79</v>
      </c>
      <c r="E4" s="817">
        <f>IF('4-1.手当等支給メニュー'!$E$4="","",'4-1.手当等支給メニュー'!$E$4)</f>
        <v>102</v>
      </c>
      <c r="F4" s="818"/>
      <c r="G4" s="818"/>
      <c r="I4" s="558"/>
      <c r="J4" s="559"/>
      <c r="K4" s="559"/>
      <c r="L4" s="559"/>
      <c r="M4" s="1024" t="s">
        <v>255</v>
      </c>
      <c r="N4" s="1024" t="s">
        <v>256</v>
      </c>
      <c r="O4" s="1024" t="s">
        <v>257</v>
      </c>
      <c r="P4" s="1025" t="s">
        <v>163</v>
      </c>
      <c r="Q4" s="560"/>
      <c r="R4" s="560"/>
      <c r="S4" s="560"/>
      <c r="T4" s="560"/>
      <c r="U4" s="561"/>
    </row>
    <row r="5" spans="2:23" ht="30" customHeight="1" x14ac:dyDescent="0.15">
      <c r="C5" s="1014" t="s">
        <v>111</v>
      </c>
      <c r="D5" s="1015"/>
      <c r="E5" s="1016"/>
      <c r="F5" s="560"/>
      <c r="G5" s="560"/>
      <c r="I5" s="560"/>
      <c r="J5" s="559"/>
      <c r="K5" s="559"/>
      <c r="L5" s="559"/>
      <c r="M5" s="1024"/>
      <c r="N5" s="1024"/>
      <c r="O5" s="1024"/>
      <c r="P5" s="1025"/>
      <c r="Q5" s="560"/>
      <c r="R5" s="560"/>
      <c r="S5" s="560"/>
      <c r="T5" s="560"/>
      <c r="U5" s="561"/>
    </row>
    <row r="6" spans="2:23" ht="28.5" customHeight="1" x14ac:dyDescent="0.15">
      <c r="C6" s="562" t="str">
        <f>IF($E$4="","",VLOOKUP($E$4,'1-1.従業員データ給与改定案入力画面'!$C$10:$AL$1010,2,0))</f>
        <v>ＡＢ</v>
      </c>
      <c r="E6" s="557" t="s">
        <v>32</v>
      </c>
      <c r="F6" s="560"/>
      <c r="G6" s="560"/>
      <c r="I6" s="560"/>
      <c r="J6" s="563"/>
      <c r="K6" s="563"/>
      <c r="L6" s="563"/>
      <c r="M6" s="564">
        <f>IF($E$4="","",VLOOKUP($E$4,'1-1.従業員データ給与改定案入力画面'!$C$10:$AL$1010,31,0)-VLOOKUP($E$4,'1-1.従業員データ給与改定案入力画面'!$C$10:$AL$1010,19,0))</f>
        <v>2000</v>
      </c>
      <c r="N6" s="564">
        <f>IF($E$4="","",VLOOKUP($E$4,'1-1.従業員データ給与改定案入力画面'!$C$10:$AL$1010,32,0)-VLOOKUP($E$4,'1-1.従業員データ給与改定案入力画面'!$C$10:$AL$1010,19,0))</f>
        <v>4000</v>
      </c>
      <c r="O6" s="564">
        <f>IF($E$4="","",VLOOKUP($E$4,'1-1.従業員データ給与改定案入力画面'!$C$10:$AL$1010,30,0)-VLOOKUP($E$4,'1-1.従業員データ給与改定案入力画面'!$C$10:$AL$1010,19,0))</f>
        <v>0</v>
      </c>
      <c r="P6" s="565">
        <f>IF($E$4="","",VLOOKUP($E$4,'1-1.従業員データ給与改定案入力画面'!$C$10:$AL$1010,36,0))</f>
        <v>0</v>
      </c>
      <c r="Q6" s="566"/>
      <c r="R6" s="566"/>
      <c r="S6" s="566"/>
      <c r="T6" s="566"/>
      <c r="U6" s="566"/>
    </row>
    <row r="7" spans="2:23" ht="21" customHeight="1" thickBot="1" x14ac:dyDescent="0.25">
      <c r="C7" s="567" t="s">
        <v>171</v>
      </c>
      <c r="E7" s="562">
        <f>IF($E$4="","",VLOOKUP($E$4,'1-1.従業員データ給与改定案入力画面'!$C$10:$AL$1010,11,0))</f>
        <v>5</v>
      </c>
      <c r="F7" s="568"/>
      <c r="G7" s="819"/>
      <c r="I7" s="556"/>
      <c r="J7" s="555"/>
      <c r="K7" s="555"/>
      <c r="L7" s="555"/>
      <c r="M7" s="820"/>
    </row>
    <row r="8" spans="2:23" ht="21" customHeight="1" thickBot="1" x14ac:dyDescent="0.2">
      <c r="C8" s="567" t="s">
        <v>103</v>
      </c>
      <c r="E8" s="562">
        <f>IF($E$4="","",VLOOKUP($E$4,'1-1.従業員データ給与改定案入力画面'!$C$10:$AL$1010,12,0))</f>
        <v>4</v>
      </c>
      <c r="F8" s="568"/>
      <c r="G8" s="568"/>
      <c r="H8" s="560"/>
      <c r="I8" s="569"/>
      <c r="J8" s="560"/>
      <c r="K8" s="555"/>
      <c r="L8" s="555"/>
      <c r="M8" s="1017" t="s">
        <v>300</v>
      </c>
      <c r="N8" s="1018"/>
      <c r="S8" s="1019" t="s">
        <v>109</v>
      </c>
      <c r="T8" s="1020"/>
      <c r="U8" s="1021"/>
    </row>
    <row r="9" spans="2:23" ht="21" customHeight="1" thickBot="1" x14ac:dyDescent="0.2">
      <c r="C9" s="567" t="s">
        <v>296</v>
      </c>
      <c r="E9" s="570">
        <f>IF($E$4="","",VLOOKUP($E$4,'1-1.従業員データ給与改定案入力画面'!$C$10:$AL$1010,15,0))</f>
        <v>1000</v>
      </c>
      <c r="F9" s="569"/>
      <c r="G9" s="569"/>
      <c r="H9" s="560"/>
      <c r="I9" s="560"/>
      <c r="J9" s="821"/>
      <c r="K9" s="559"/>
      <c r="L9" s="559"/>
      <c r="M9" s="578">
        <v>1000000</v>
      </c>
      <c r="N9" s="822" t="s">
        <v>301</v>
      </c>
      <c r="S9" s="1022" t="s">
        <v>199</v>
      </c>
      <c r="T9" s="1023"/>
      <c r="U9" s="571">
        <f>IF('4-1.手当等支給メニュー'!$U$9="","",'4-1.手当等支給メニュー'!$U$9)</f>
        <v>1</v>
      </c>
      <c r="V9" s="572"/>
    </row>
    <row r="10" spans="2:23" ht="21" customHeight="1" x14ac:dyDescent="0.15">
      <c r="C10" s="557" t="s">
        <v>19</v>
      </c>
      <c r="E10" s="562">
        <f>IF($E$4="","",VLOOKUP($E$4,'1-1.従業員データ給与改定案入力画面'!$C$10:$AL$1010,7,0))</f>
        <v>26</v>
      </c>
      <c r="F10" s="568"/>
      <c r="G10" s="1030" t="s">
        <v>342</v>
      </c>
      <c r="H10" s="1031"/>
      <c r="I10" s="560"/>
      <c r="J10" s="823"/>
      <c r="K10" s="573"/>
      <c r="L10" s="573"/>
      <c r="M10" s="578">
        <v>1000000</v>
      </c>
      <c r="N10" s="824" t="s">
        <v>302</v>
      </c>
      <c r="S10" s="1022" t="s">
        <v>123</v>
      </c>
      <c r="T10" s="1034"/>
      <c r="U10" s="574">
        <f>IF('4-1.手当等支給メニュー'!$U$10="","",'4-1.手当等支給メニュー'!$U$10)</f>
        <v>1300000</v>
      </c>
      <c r="V10" s="572"/>
    </row>
    <row r="11" spans="2:23" ht="21" customHeight="1" thickBot="1" x14ac:dyDescent="0.2">
      <c r="C11" s="557" t="s">
        <v>148</v>
      </c>
      <c r="E11" s="562" t="str">
        <f>IF($E$4="","",VLOOKUP($E$4,'1-1.従業員データ給与改定案入力画面'!$C$10:$AL$1010,3,0))</f>
        <v>生駒市</v>
      </c>
      <c r="F11" s="568"/>
      <c r="G11" s="1032"/>
      <c r="H11" s="1033"/>
      <c r="I11" s="560"/>
      <c r="J11" s="823"/>
      <c r="M11" s="578">
        <v>1030000</v>
      </c>
      <c r="N11" s="825" t="s">
        <v>304</v>
      </c>
      <c r="S11" s="1035" t="s">
        <v>122</v>
      </c>
      <c r="T11" s="1036"/>
      <c r="U11" s="575">
        <f>IF('4-1.手当等支給メニュー'!$U$11="","",'4-1.手当等支給メニュー'!$U$11)</f>
        <v>30</v>
      </c>
      <c r="V11" s="572"/>
    </row>
    <row r="12" spans="2:23" ht="22.5" customHeight="1" thickBot="1" x14ac:dyDescent="0.2">
      <c r="C12" s="576" t="s">
        <v>297</v>
      </c>
      <c r="D12" s="560"/>
      <c r="E12" s="577"/>
      <c r="F12" s="577"/>
      <c r="G12" s="1037">
        <v>0.15</v>
      </c>
      <c r="H12" s="1038"/>
      <c r="I12" s="560"/>
      <c r="J12" s="823"/>
      <c r="K12" s="559"/>
      <c r="L12" s="559"/>
      <c r="M12" s="578">
        <v>1060000</v>
      </c>
      <c r="N12" s="579" t="s">
        <v>312</v>
      </c>
    </row>
    <row r="13" spans="2:23" s="559" customFormat="1" ht="29.25" customHeight="1" thickBot="1" x14ac:dyDescent="0.2">
      <c r="C13" s="562">
        <f>IF($E$4="","",VLOOKUP($E$4,'1-1.従業員データ給与改定案入力画面'!$C$10:$AL$1010,16,0))</f>
        <v>40</v>
      </c>
      <c r="D13" s="568"/>
      <c r="E13" s="580"/>
      <c r="F13" s="580"/>
      <c r="G13" s="580"/>
      <c r="J13" s="826"/>
      <c r="K13" s="581"/>
      <c r="L13" s="581"/>
      <c r="M13" s="578">
        <v>1300000</v>
      </c>
      <c r="N13" s="827" t="s">
        <v>303</v>
      </c>
      <c r="O13" s="582"/>
      <c r="Q13" s="1026" t="s">
        <v>323</v>
      </c>
      <c r="R13" s="1027"/>
      <c r="S13" s="1028" t="s">
        <v>323</v>
      </c>
      <c r="T13" s="1029"/>
    </row>
    <row r="14" spans="2:23" ht="53.25" customHeight="1" thickBot="1" x14ac:dyDescent="0.2">
      <c r="B14" s="583" t="s">
        <v>18</v>
      </c>
      <c r="C14" s="584" t="s">
        <v>298</v>
      </c>
      <c r="D14" s="585" t="s">
        <v>16</v>
      </c>
      <c r="E14" s="586" t="s">
        <v>321</v>
      </c>
      <c r="F14" s="587" t="s">
        <v>16</v>
      </c>
      <c r="G14" s="588" t="s">
        <v>320</v>
      </c>
      <c r="H14" s="589" t="s">
        <v>16</v>
      </c>
      <c r="I14" s="590" t="s">
        <v>324</v>
      </c>
      <c r="J14" s="590" t="s">
        <v>172</v>
      </c>
      <c r="K14" s="591" t="s">
        <v>107</v>
      </c>
      <c r="L14" s="592" t="s">
        <v>322</v>
      </c>
      <c r="M14" s="593" t="s">
        <v>299</v>
      </c>
      <c r="N14" s="594" t="s">
        <v>259</v>
      </c>
      <c r="O14" s="595" t="s">
        <v>258</v>
      </c>
      <c r="P14" s="596" t="s">
        <v>17</v>
      </c>
      <c r="Q14" s="597" t="s">
        <v>16</v>
      </c>
      <c r="R14" s="598" t="s">
        <v>16</v>
      </c>
      <c r="S14" s="595" t="s">
        <v>258</v>
      </c>
      <c r="T14" s="595" t="s">
        <v>17</v>
      </c>
      <c r="U14" s="599" t="s">
        <v>164</v>
      </c>
      <c r="V14" s="600" t="s">
        <v>166</v>
      </c>
      <c r="W14" s="601" t="s">
        <v>241</v>
      </c>
    </row>
    <row r="15" spans="2:23" ht="21.95" customHeight="1" thickBot="1" x14ac:dyDescent="0.2">
      <c r="B15" s="602">
        <v>1</v>
      </c>
      <c r="C15" s="603">
        <f t="shared" ref="C15:C44" si="0">IF($E$4="",0,IF($H15="","",$E$9+$C$13))</f>
        <v>1040</v>
      </c>
      <c r="D15" s="604">
        <f t="shared" ref="D15:D44" si="1">IF($E$4="","",IF($K15&gt;=88000,88,""))</f>
        <v>88</v>
      </c>
      <c r="E15" s="605">
        <f>IF($E$4="","",IF(AND($I15&gt;=20,$D15=88,$P15&lt;=104000),($P15+$V15)*$G$12,0))</f>
        <v>14700</v>
      </c>
      <c r="F15" s="605">
        <f>IF($E$4="","",IF(AND($I15&gt;=20,$D15=88,$P15&gt;104000),($P15+$V15)*$G$12,0))</f>
        <v>0</v>
      </c>
      <c r="G15" s="605">
        <f>IF($E$4="","",IF(AND($I15&gt;=20,$D15=88,$R15&gt;104000),($R15+$V15)*$G$12,0))</f>
        <v>0</v>
      </c>
      <c r="H15" s="606">
        <v>0</v>
      </c>
      <c r="I15" s="607">
        <f>IF($E$4="","",$E$7*$E$8)</f>
        <v>20</v>
      </c>
      <c r="J15" s="608">
        <f t="shared" ref="J15:J44" si="2">IF($E$7="","",IF($I15="","",$I15*365/7))</f>
        <v>1042.8571428571429</v>
      </c>
      <c r="K15" s="609">
        <f>IF($E$4="","",IF($J15="",0,$C15*$J15/12))</f>
        <v>90380.952380952382</v>
      </c>
      <c r="L15" s="610">
        <f>IF($E$4="","",$K15+$E15+$F15)</f>
        <v>105080.95238095238</v>
      </c>
      <c r="M15" s="611">
        <f>IF($E$4="",0,IF($L15=0,0,$L15+$M$6))</f>
        <v>107080.95238095238</v>
      </c>
      <c r="N15" s="612">
        <f>IF($E$4="",0,IF($M15=0,0,$M15*12+$P$6))</f>
        <v>1284971.4285714286</v>
      </c>
      <c r="O15" s="613">
        <f>IF($E$4="",0,IF($K15=0,0,$K15+$N$6))</f>
        <v>94380.952380952382</v>
      </c>
      <c r="P15" s="614">
        <f>IF($E$4="",0,IF($O15=0,0,VLOOKUP($O15,'3-1.標準報酬月額・保険料表'!$N$8:$O$57,2,TRUE)))</f>
        <v>98000</v>
      </c>
      <c r="Q15" s="615">
        <f>IF($E$4="",0,IF($L15=0,0,$L15+$N$6-$E15))</f>
        <v>94380.952380952382</v>
      </c>
      <c r="R15" s="616">
        <f>IF($E$4="",0,IF($Q15=0,0,VLOOKUP($Q15,'3-1.標準報酬月額・保険料表'!$N$8:$O$57,2,TRUE)))</f>
        <v>98000</v>
      </c>
      <c r="S15" s="613">
        <f>IF($E$4="",0,IF($K15=0,0,$K15+$N$6+$G15))</f>
        <v>94380.952380952382</v>
      </c>
      <c r="T15" s="617">
        <f>IF($E$4="",0,IF($S15=0,0,VLOOKUP($S15,'3-1.標準報酬月額・保険料表'!$N$8:$O$57,2,TRUE)))</f>
        <v>98000</v>
      </c>
      <c r="U15" s="618">
        <f t="shared" ref="U15:U44" si="3">IF($E$4="",0,ROUNDDOWN($P$6,-3))</f>
        <v>0</v>
      </c>
      <c r="V15" s="619">
        <f t="shared" ref="V15:V44" si="4">IF($E$4="",0,ROUND($U15/12,0))</f>
        <v>0</v>
      </c>
      <c r="W15" s="620">
        <f t="shared" ref="W15:W44" si="5">IF($E$4="","",IF($K15="",0,$K15+$O$6))</f>
        <v>90380.952380952382</v>
      </c>
    </row>
    <row r="16" spans="2:23" ht="21.95" customHeight="1" x14ac:dyDescent="0.15">
      <c r="B16" s="602">
        <v>2</v>
      </c>
      <c r="C16" s="621">
        <f t="shared" si="0"/>
        <v>1040</v>
      </c>
      <c r="D16" s="622">
        <f t="shared" si="1"/>
        <v>88</v>
      </c>
      <c r="E16" s="605">
        <f t="shared" ref="E16:E44" si="6">IF($E$4="","",IF(AND($I16&gt;=20,$D16=88,$P16&lt;=104000),($P16+$V16)*$G$12,0))</f>
        <v>14700</v>
      </c>
      <c r="F16" s="605">
        <f t="shared" ref="F16:F44" si="7">IF($E$4="","",IF(AND($I16&gt;=20,$D16=88,$P16&gt;104000),($P16+$V16)*$G$12,0))</f>
        <v>0</v>
      </c>
      <c r="G16" s="605">
        <f t="shared" ref="G16:G44" si="8">IF($E$4="","",IF(AND($I16&gt;=20,$D16=88,$R16&gt;104000),($R16+$V16)*$G$12,0))</f>
        <v>0</v>
      </c>
      <c r="H16" s="623">
        <f>IF($I15&gt;=39,"",$H15+1)</f>
        <v>1</v>
      </c>
      <c r="I16" s="624">
        <f>IF($H16="","",IF($I$15+$H16&gt;39,"",$I$15+$H16))</f>
        <v>21</v>
      </c>
      <c r="J16" s="610">
        <f t="shared" si="2"/>
        <v>1095</v>
      </c>
      <c r="K16" s="609">
        <f>IF($E$4="","",IF($J16="",0,$C16*$J16/12))</f>
        <v>94900</v>
      </c>
      <c r="L16" s="610">
        <f>IF($E$4="","",$K16+$E16+$F16)</f>
        <v>109600</v>
      </c>
      <c r="M16" s="625">
        <f>IF($E$4="",0,IF($L16=0,0,$L16+$M$6))</f>
        <v>111600</v>
      </c>
      <c r="N16" s="612">
        <f t="shared" ref="N16:N44" si="9">IF($E$4="",0,IF($M16=0,0,$M16*12+$P$6))</f>
        <v>1339200</v>
      </c>
      <c r="O16" s="626">
        <f t="shared" ref="O16:O44" si="10">IF($E$4="",0,IF($K16=0,0,$K16+$N$6))</f>
        <v>98900</v>
      </c>
      <c r="P16" s="614">
        <f>IF($E$4="",0,IF($O16=0,0,VLOOKUP($O16,'3-1.標準報酬月額・保険料表'!$N$8:$O$57,2,TRUE)))</f>
        <v>98000</v>
      </c>
      <c r="Q16" s="627">
        <f t="shared" ref="Q16:Q44" si="11">IF($E$4="",0,IF($L16=0,0,$L16+$N$6-$E16))</f>
        <v>98900</v>
      </c>
      <c r="R16" s="628">
        <f>IF($E$4="",0,IF($Q16=0,0,VLOOKUP($Q16,'3-1.標準報酬月額・保険料表'!$N$8:$O$57,2,TRUE)))</f>
        <v>98000</v>
      </c>
      <c r="S16" s="613">
        <f t="shared" ref="S16:S44" si="12">IF($E$4="",0,IF($K16=0,0,$K16+$N$6+$G16))</f>
        <v>98900</v>
      </c>
      <c r="T16" s="617">
        <f>IF($E$4="",0,IF($S16=0,0,VLOOKUP($S16,'3-1.標準報酬月額・保険料表'!$N$8:$O$57,2,TRUE)))</f>
        <v>98000</v>
      </c>
      <c r="U16" s="629">
        <f t="shared" si="3"/>
        <v>0</v>
      </c>
      <c r="V16" s="619">
        <f t="shared" si="4"/>
        <v>0</v>
      </c>
      <c r="W16" s="620">
        <f t="shared" si="5"/>
        <v>94900</v>
      </c>
    </row>
    <row r="17" spans="2:23" ht="21.95" customHeight="1" x14ac:dyDescent="0.15">
      <c r="B17" s="602">
        <v>3</v>
      </c>
      <c r="C17" s="621">
        <f t="shared" si="0"/>
        <v>1040</v>
      </c>
      <c r="D17" s="630">
        <f t="shared" si="1"/>
        <v>88</v>
      </c>
      <c r="E17" s="605">
        <f t="shared" si="6"/>
        <v>15600</v>
      </c>
      <c r="F17" s="605">
        <f t="shared" si="7"/>
        <v>0</v>
      </c>
      <c r="G17" s="605">
        <f t="shared" si="8"/>
        <v>0</v>
      </c>
      <c r="H17" s="631">
        <f t="shared" ref="H17:H44" si="13">IF($I16&gt;=39,"",$H16+1)</f>
        <v>2</v>
      </c>
      <c r="I17" s="632">
        <f t="shared" ref="I17:I44" si="14">IF($H17="","",IF($I$15+$H17&gt;39,"",$I$15+$H17))</f>
        <v>22</v>
      </c>
      <c r="J17" s="610">
        <f t="shared" si="2"/>
        <v>1147.1428571428571</v>
      </c>
      <c r="K17" s="609">
        <f t="shared" ref="K17:K44" si="15">IF($E$4="","",IF($J17="",0,$C17*$J17/12))</f>
        <v>99419.047619047618</v>
      </c>
      <c r="L17" s="610">
        <f t="shared" ref="L17:L44" si="16">IF($E$4="","",$K17+$E17+$F17)</f>
        <v>115019.04761904762</v>
      </c>
      <c r="M17" s="625">
        <f t="shared" ref="M17:M44" si="17">IF($E$4="",0,IF($L17=0,0,$L17+$M$6))</f>
        <v>117019.04761904762</v>
      </c>
      <c r="N17" s="612">
        <f t="shared" si="9"/>
        <v>1404228.5714285714</v>
      </c>
      <c r="O17" s="626">
        <f>IF($E$4="",0,IF($K17=0,0,$K17+$N$6))</f>
        <v>103419.04761904762</v>
      </c>
      <c r="P17" s="614">
        <f>IF($E$4="",0,IF($O17=0,0,VLOOKUP($O17,'3-1.標準報酬月額・保険料表'!$N$8:$O$57,2,TRUE)))</f>
        <v>104000</v>
      </c>
      <c r="Q17" s="627">
        <f t="shared" si="11"/>
        <v>103419.04761904762</v>
      </c>
      <c r="R17" s="628">
        <f>IF($E$4="",0,IF($Q17=0,0,VLOOKUP($Q17,'3-1.標準報酬月額・保険料表'!$N$8:$O$57,2,TRUE)))</f>
        <v>104000</v>
      </c>
      <c r="S17" s="613">
        <f t="shared" si="12"/>
        <v>103419.04761904762</v>
      </c>
      <c r="T17" s="617">
        <f>IF($E$4="",0,IF($S17=0,0,VLOOKUP($S17,'3-1.標準報酬月額・保険料表'!$N$8:$O$57,2,TRUE)))</f>
        <v>104000</v>
      </c>
      <c r="U17" s="629">
        <f t="shared" si="3"/>
        <v>0</v>
      </c>
      <c r="V17" s="619">
        <f t="shared" si="4"/>
        <v>0</v>
      </c>
      <c r="W17" s="620">
        <f t="shared" si="5"/>
        <v>99419.047619047618</v>
      </c>
    </row>
    <row r="18" spans="2:23" ht="21.95" customHeight="1" x14ac:dyDescent="0.15">
      <c r="B18" s="602">
        <v>4</v>
      </c>
      <c r="C18" s="621">
        <f t="shared" si="0"/>
        <v>1040</v>
      </c>
      <c r="D18" s="630">
        <f t="shared" si="1"/>
        <v>88</v>
      </c>
      <c r="E18" s="605">
        <f t="shared" si="6"/>
        <v>0</v>
      </c>
      <c r="F18" s="605">
        <f>IF($E$4="","",IF(AND($I18&gt;=20,$D18=88,$P18&gt;104000),($P18+$V18)*$G$12,0))</f>
        <v>16500</v>
      </c>
      <c r="G18" s="605">
        <f>IF($E$4="","",IF(AND($I18&gt;=20,$D18=88,$R18&gt;104000),($R18+$V18)*$G$12,0))</f>
        <v>18900</v>
      </c>
      <c r="H18" s="631">
        <f t="shared" si="13"/>
        <v>3</v>
      </c>
      <c r="I18" s="632">
        <f t="shared" si="14"/>
        <v>23</v>
      </c>
      <c r="J18" s="610">
        <f t="shared" si="2"/>
        <v>1199.2857142857142</v>
      </c>
      <c r="K18" s="609">
        <f t="shared" si="15"/>
        <v>103938.09523809522</v>
      </c>
      <c r="L18" s="610">
        <f>IF($E$4="","",$K18+$E18+$F18)</f>
        <v>120438.09523809522</v>
      </c>
      <c r="M18" s="625">
        <f>IF($E$4="",0,IF($L18=0,0,$L18+$M$6))</f>
        <v>122438.09523809522</v>
      </c>
      <c r="N18" s="612">
        <f t="shared" si="9"/>
        <v>1469257.1428571427</v>
      </c>
      <c r="O18" s="626">
        <f t="shared" si="10"/>
        <v>107938.09523809522</v>
      </c>
      <c r="P18" s="614">
        <f>IF($E$4="",0,IF($O18=0,0,VLOOKUP($O18,'3-1.標準報酬月額・保険料表'!$N$8:$O$57,2,TRUE)))</f>
        <v>110000</v>
      </c>
      <c r="Q18" s="627">
        <f>IF($E$4="",0,IF($L18=0,0,$L18+$N$6-$E18))</f>
        <v>124438.09523809522</v>
      </c>
      <c r="R18" s="628">
        <f>IF($E$4="",0,IF($Q18=0,0,VLOOKUP($Q18,'3-1.標準報酬月額・保険料表'!$N$8:$O$57,2,TRUE)))</f>
        <v>126000</v>
      </c>
      <c r="S18" s="613">
        <f t="shared" si="12"/>
        <v>126838.09523809522</v>
      </c>
      <c r="T18" s="617">
        <f>IF($E$4="",0,IF($S18=0,0,VLOOKUP($S18,'3-1.標準報酬月額・保険料表'!$N$8:$O$57,2,TRUE)))</f>
        <v>126000</v>
      </c>
      <c r="U18" s="629">
        <f t="shared" si="3"/>
        <v>0</v>
      </c>
      <c r="V18" s="619">
        <f t="shared" si="4"/>
        <v>0</v>
      </c>
      <c r="W18" s="620">
        <f t="shared" si="5"/>
        <v>103938.09523809522</v>
      </c>
    </row>
    <row r="19" spans="2:23" ht="21.95" customHeight="1" x14ac:dyDescent="0.15">
      <c r="B19" s="602">
        <v>5</v>
      </c>
      <c r="C19" s="621">
        <f t="shared" si="0"/>
        <v>1040</v>
      </c>
      <c r="D19" s="630">
        <f t="shared" si="1"/>
        <v>88</v>
      </c>
      <c r="E19" s="605">
        <f t="shared" si="6"/>
        <v>0</v>
      </c>
      <c r="F19" s="605">
        <f t="shared" si="7"/>
        <v>16500</v>
      </c>
      <c r="G19" s="605">
        <f>IF($E$4="","",IF(AND($I19&gt;=20,$D19=88,$R19&gt;104000),($R19+$V19)*$G$12,0))</f>
        <v>18900</v>
      </c>
      <c r="H19" s="631">
        <f t="shared" si="13"/>
        <v>4</v>
      </c>
      <c r="I19" s="632">
        <f t="shared" si="14"/>
        <v>24</v>
      </c>
      <c r="J19" s="610">
        <f t="shared" si="2"/>
        <v>1251.4285714285713</v>
      </c>
      <c r="K19" s="609">
        <f t="shared" si="15"/>
        <v>108457.14285714284</v>
      </c>
      <c r="L19" s="610">
        <f t="shared" si="16"/>
        <v>124957.14285714284</v>
      </c>
      <c r="M19" s="625">
        <f t="shared" si="17"/>
        <v>126957.14285714284</v>
      </c>
      <c r="N19" s="612">
        <f t="shared" si="9"/>
        <v>1523485.7142857141</v>
      </c>
      <c r="O19" s="626">
        <f t="shared" si="10"/>
        <v>112457.14285714284</v>
      </c>
      <c r="P19" s="614">
        <f>IF($E$4="",0,IF($O19=0,0,VLOOKUP($O19,'3-1.標準報酬月額・保険料表'!$N$8:$O$57,2,TRUE)))</f>
        <v>110000</v>
      </c>
      <c r="Q19" s="627">
        <f t="shared" si="11"/>
        <v>128957.14285714284</v>
      </c>
      <c r="R19" s="628">
        <f>IF($E$4="",0,IF($Q19=0,0,VLOOKUP($Q19,'3-1.標準報酬月額・保険料表'!$N$8:$O$57,2,TRUE)))</f>
        <v>126000</v>
      </c>
      <c r="S19" s="613">
        <f t="shared" si="12"/>
        <v>131357.14285714284</v>
      </c>
      <c r="T19" s="617">
        <f>IF($E$4="",0,IF($S19=0,0,VLOOKUP($S19,'3-1.標準報酬月額・保険料表'!$N$8:$O$57,2,TRUE)))</f>
        <v>134000</v>
      </c>
      <c r="U19" s="629">
        <f t="shared" si="3"/>
        <v>0</v>
      </c>
      <c r="V19" s="619">
        <f t="shared" si="4"/>
        <v>0</v>
      </c>
      <c r="W19" s="620">
        <f t="shared" si="5"/>
        <v>108457.14285714284</v>
      </c>
    </row>
    <row r="20" spans="2:23" ht="21.95" customHeight="1" x14ac:dyDescent="0.15">
      <c r="B20" s="602">
        <v>6</v>
      </c>
      <c r="C20" s="621">
        <f t="shared" si="0"/>
        <v>1040</v>
      </c>
      <c r="D20" s="630">
        <f t="shared" si="1"/>
        <v>88</v>
      </c>
      <c r="E20" s="605">
        <f t="shared" si="6"/>
        <v>0</v>
      </c>
      <c r="F20" s="605">
        <f t="shared" si="7"/>
        <v>17700</v>
      </c>
      <c r="G20" s="605">
        <f t="shared" si="8"/>
        <v>20100</v>
      </c>
      <c r="H20" s="631">
        <f t="shared" si="13"/>
        <v>5</v>
      </c>
      <c r="I20" s="632">
        <f t="shared" si="14"/>
        <v>25</v>
      </c>
      <c r="J20" s="610">
        <f t="shared" si="2"/>
        <v>1303.5714285714287</v>
      </c>
      <c r="K20" s="609">
        <f t="shared" si="15"/>
        <v>112976.19047619049</v>
      </c>
      <c r="L20" s="610">
        <f>IF($E$4="","",$K20+$E20+$F20)</f>
        <v>130676.19047619049</v>
      </c>
      <c r="M20" s="625">
        <f t="shared" si="17"/>
        <v>132676.19047619047</v>
      </c>
      <c r="N20" s="612">
        <f t="shared" si="9"/>
        <v>1592114.2857142857</v>
      </c>
      <c r="O20" s="626">
        <f t="shared" si="10"/>
        <v>116976.19047619049</v>
      </c>
      <c r="P20" s="614">
        <f>IF($E$4="",0,IF($O20=0,0,VLOOKUP($O20,'3-1.標準報酬月額・保険料表'!$N$8:$O$57,2,TRUE)))</f>
        <v>118000</v>
      </c>
      <c r="Q20" s="627">
        <f>IF($E$4="",0,IF($L20=0,0,$L20+$N$6-$E20))</f>
        <v>134676.19047619047</v>
      </c>
      <c r="R20" s="628">
        <f>IF($E$4="",0,IF($Q20=0,0,VLOOKUP($Q20,'3-1.標準報酬月額・保険料表'!$N$8:$O$57,2,TRUE)))</f>
        <v>134000</v>
      </c>
      <c r="S20" s="613">
        <f t="shared" si="12"/>
        <v>137076.19047619047</v>
      </c>
      <c r="T20" s="617">
        <f>IF($E$4="",0,IF($S20=0,0,VLOOKUP($S20,'3-1.標準報酬月額・保険料表'!$N$8:$O$57,2,TRUE)))</f>
        <v>134000</v>
      </c>
      <c r="U20" s="629">
        <f t="shared" si="3"/>
        <v>0</v>
      </c>
      <c r="V20" s="619">
        <f t="shared" si="4"/>
        <v>0</v>
      </c>
      <c r="W20" s="620">
        <f t="shared" si="5"/>
        <v>112976.19047619049</v>
      </c>
    </row>
    <row r="21" spans="2:23" ht="21.95" customHeight="1" x14ac:dyDescent="0.15">
      <c r="B21" s="602">
        <v>7</v>
      </c>
      <c r="C21" s="621">
        <f t="shared" si="0"/>
        <v>1040</v>
      </c>
      <c r="D21" s="630">
        <f t="shared" si="1"/>
        <v>88</v>
      </c>
      <c r="E21" s="605">
        <f t="shared" si="6"/>
        <v>0</v>
      </c>
      <c r="F21" s="633">
        <f t="shared" si="7"/>
        <v>17700</v>
      </c>
      <c r="G21" s="633">
        <f t="shared" si="8"/>
        <v>21300</v>
      </c>
      <c r="H21" s="631">
        <f t="shared" si="13"/>
        <v>6</v>
      </c>
      <c r="I21" s="632">
        <f t="shared" si="14"/>
        <v>26</v>
      </c>
      <c r="J21" s="610">
        <f t="shared" si="2"/>
        <v>1355.7142857142858</v>
      </c>
      <c r="K21" s="609">
        <f t="shared" si="15"/>
        <v>117495.23809523811</v>
      </c>
      <c r="L21" s="610">
        <f t="shared" si="16"/>
        <v>135195.23809523811</v>
      </c>
      <c r="M21" s="625">
        <f t="shared" si="17"/>
        <v>137195.23809523811</v>
      </c>
      <c r="N21" s="612">
        <f t="shared" si="9"/>
        <v>1646342.8571428573</v>
      </c>
      <c r="O21" s="626">
        <f t="shared" si="10"/>
        <v>121495.23809523811</v>
      </c>
      <c r="P21" s="614">
        <f>IF($E$4="",0,IF($O21=0,0,VLOOKUP($O21,'3-1.標準報酬月額・保険料表'!$N$8:$O$57,2,TRUE)))</f>
        <v>118000</v>
      </c>
      <c r="Q21" s="627">
        <f t="shared" si="11"/>
        <v>139195.23809523811</v>
      </c>
      <c r="R21" s="628">
        <f>IF($E$4="",0,IF($Q21=0,0,VLOOKUP($Q21,'3-1.標準報酬月額・保険料表'!$N$8:$O$57,2,TRUE)))</f>
        <v>142000</v>
      </c>
      <c r="S21" s="613">
        <f t="shared" si="12"/>
        <v>142795.23809523811</v>
      </c>
      <c r="T21" s="617">
        <f>IF($E$4="",0,IF($S21=0,0,VLOOKUP($S21,'3-1.標準報酬月額・保険料表'!$N$8:$O$57,2,TRUE)))</f>
        <v>142000</v>
      </c>
      <c r="U21" s="629">
        <f t="shared" si="3"/>
        <v>0</v>
      </c>
      <c r="V21" s="619">
        <f t="shared" si="4"/>
        <v>0</v>
      </c>
      <c r="W21" s="620">
        <f t="shared" si="5"/>
        <v>117495.23809523811</v>
      </c>
    </row>
    <row r="22" spans="2:23" ht="21.95" customHeight="1" x14ac:dyDescent="0.15">
      <c r="B22" s="602">
        <v>8</v>
      </c>
      <c r="C22" s="621">
        <f t="shared" si="0"/>
        <v>1040</v>
      </c>
      <c r="D22" s="630">
        <f t="shared" si="1"/>
        <v>88</v>
      </c>
      <c r="E22" s="605">
        <f t="shared" si="6"/>
        <v>0</v>
      </c>
      <c r="F22" s="633">
        <f t="shared" si="7"/>
        <v>18900</v>
      </c>
      <c r="G22" s="633">
        <f t="shared" si="8"/>
        <v>21300</v>
      </c>
      <c r="H22" s="631">
        <f t="shared" si="13"/>
        <v>7</v>
      </c>
      <c r="I22" s="632">
        <f t="shared" si="14"/>
        <v>27</v>
      </c>
      <c r="J22" s="610">
        <f t="shared" si="2"/>
        <v>1407.8571428571429</v>
      </c>
      <c r="K22" s="609">
        <f t="shared" si="15"/>
        <v>122014.28571428572</v>
      </c>
      <c r="L22" s="610">
        <f t="shared" si="16"/>
        <v>140914.28571428574</v>
      </c>
      <c r="M22" s="625">
        <f>IF($E$4="",0,IF($L22=0,0,$L22+$M$6))</f>
        <v>142914.28571428574</v>
      </c>
      <c r="N22" s="612">
        <f t="shared" si="9"/>
        <v>1714971.4285714289</v>
      </c>
      <c r="O22" s="626">
        <f t="shared" si="10"/>
        <v>126014.28571428572</v>
      </c>
      <c r="P22" s="614">
        <f>IF($E$4="",0,IF($O22=0,0,VLOOKUP($O22,'3-1.標準報酬月額・保険料表'!$N$8:$O$57,2,TRUE)))</f>
        <v>126000</v>
      </c>
      <c r="Q22" s="627">
        <f t="shared" si="11"/>
        <v>144914.28571428574</v>
      </c>
      <c r="R22" s="628">
        <f>IF($E$4="",0,IF($Q22=0,0,VLOOKUP($Q22,'3-1.標準報酬月額・保険料表'!$N$8:$O$57,2,TRUE)))</f>
        <v>142000</v>
      </c>
      <c r="S22" s="613">
        <f t="shared" si="12"/>
        <v>147314.28571428574</v>
      </c>
      <c r="T22" s="617">
        <f>IF($E$4="",0,IF($S22=0,0,VLOOKUP($S22,'3-1.標準報酬月額・保険料表'!$N$8:$O$57,2,TRUE)))</f>
        <v>150000</v>
      </c>
      <c r="U22" s="629">
        <f t="shared" si="3"/>
        <v>0</v>
      </c>
      <c r="V22" s="619">
        <f t="shared" si="4"/>
        <v>0</v>
      </c>
      <c r="W22" s="620">
        <f t="shared" si="5"/>
        <v>122014.28571428572</v>
      </c>
    </row>
    <row r="23" spans="2:23" ht="21.95" customHeight="1" x14ac:dyDescent="0.15">
      <c r="B23" s="602">
        <v>9</v>
      </c>
      <c r="C23" s="621">
        <f t="shared" si="0"/>
        <v>1040</v>
      </c>
      <c r="D23" s="630">
        <f t="shared" si="1"/>
        <v>88</v>
      </c>
      <c r="E23" s="605">
        <f t="shared" si="6"/>
        <v>0</v>
      </c>
      <c r="F23" s="633">
        <f t="shared" si="7"/>
        <v>20100</v>
      </c>
      <c r="G23" s="633">
        <f t="shared" si="8"/>
        <v>22500</v>
      </c>
      <c r="H23" s="631">
        <f t="shared" si="13"/>
        <v>8</v>
      </c>
      <c r="I23" s="632">
        <f t="shared" si="14"/>
        <v>28</v>
      </c>
      <c r="J23" s="610">
        <f t="shared" si="2"/>
        <v>1460</v>
      </c>
      <c r="K23" s="609">
        <f t="shared" si="15"/>
        <v>126533.33333333333</v>
      </c>
      <c r="L23" s="610">
        <f>IF($E$4="","",$K23+$E23+$F23)</f>
        <v>146633.33333333331</v>
      </c>
      <c r="M23" s="625">
        <f t="shared" si="17"/>
        <v>148633.33333333331</v>
      </c>
      <c r="N23" s="612">
        <f t="shared" si="9"/>
        <v>1783599.9999999998</v>
      </c>
      <c r="O23" s="626">
        <f t="shared" si="10"/>
        <v>130533.33333333333</v>
      </c>
      <c r="P23" s="614">
        <f>IF($E$4="",0,IF($O23=0,0,VLOOKUP($O23,'3-1.標準報酬月額・保険料表'!$N$8:$O$57,2,TRUE)))</f>
        <v>134000</v>
      </c>
      <c r="Q23" s="627">
        <f t="shared" si="11"/>
        <v>150633.33333333331</v>
      </c>
      <c r="R23" s="628">
        <f>IF($E$4="",0,IF($Q23=0,0,VLOOKUP($Q23,'3-1.標準報酬月額・保険料表'!$N$8:$O$57,2,TRUE)))</f>
        <v>150000</v>
      </c>
      <c r="S23" s="613">
        <f t="shared" si="12"/>
        <v>153033.33333333331</v>
      </c>
      <c r="T23" s="617">
        <f>IF($E$4="",0,IF($S23=0,0,VLOOKUP($S23,'3-1.標準報酬月額・保険料表'!$N$8:$O$57,2,TRUE)))</f>
        <v>150000</v>
      </c>
      <c r="U23" s="629">
        <f t="shared" si="3"/>
        <v>0</v>
      </c>
      <c r="V23" s="619">
        <f t="shared" si="4"/>
        <v>0</v>
      </c>
      <c r="W23" s="620">
        <f t="shared" si="5"/>
        <v>126533.33333333333</v>
      </c>
    </row>
    <row r="24" spans="2:23" ht="21.95" customHeight="1" x14ac:dyDescent="0.15">
      <c r="B24" s="602">
        <v>10</v>
      </c>
      <c r="C24" s="621">
        <f t="shared" si="0"/>
        <v>1040</v>
      </c>
      <c r="D24" s="630">
        <f t="shared" si="1"/>
        <v>88</v>
      </c>
      <c r="E24" s="605">
        <f t="shared" si="6"/>
        <v>0</v>
      </c>
      <c r="F24" s="633">
        <f t="shared" si="7"/>
        <v>20100</v>
      </c>
      <c r="G24" s="633">
        <f t="shared" si="8"/>
        <v>24000</v>
      </c>
      <c r="H24" s="631">
        <f t="shared" si="13"/>
        <v>9</v>
      </c>
      <c r="I24" s="632">
        <f t="shared" si="14"/>
        <v>29</v>
      </c>
      <c r="J24" s="610">
        <f t="shared" si="2"/>
        <v>1512.1428571428571</v>
      </c>
      <c r="K24" s="609">
        <f t="shared" si="15"/>
        <v>131052.38095238095</v>
      </c>
      <c r="L24" s="610">
        <f t="shared" si="16"/>
        <v>151152.38095238095</v>
      </c>
      <c r="M24" s="625">
        <f t="shared" si="17"/>
        <v>153152.38095238095</v>
      </c>
      <c r="N24" s="612">
        <f t="shared" si="9"/>
        <v>1837828.5714285714</v>
      </c>
      <c r="O24" s="626">
        <f t="shared" si="10"/>
        <v>135052.38095238095</v>
      </c>
      <c r="P24" s="614">
        <f>IF($E$4="",0,IF($O24=0,0,VLOOKUP($O24,'3-1.標準報酬月額・保険料表'!$N$8:$O$57,2,TRUE)))</f>
        <v>134000</v>
      </c>
      <c r="Q24" s="627">
        <f t="shared" si="11"/>
        <v>155152.38095238095</v>
      </c>
      <c r="R24" s="628">
        <f>IF($E$4="",0,IF($Q24=0,0,VLOOKUP($Q24,'3-1.標準報酬月額・保険料表'!$N$8:$O$57,2,TRUE)))</f>
        <v>160000</v>
      </c>
      <c r="S24" s="613">
        <f t="shared" si="12"/>
        <v>159052.38095238095</v>
      </c>
      <c r="T24" s="617">
        <f>IF($E$4="",0,IF($S24=0,0,VLOOKUP($S24,'3-1.標準報酬月額・保険料表'!$N$8:$O$57,2,TRUE)))</f>
        <v>160000</v>
      </c>
      <c r="U24" s="629">
        <f t="shared" si="3"/>
        <v>0</v>
      </c>
      <c r="V24" s="619">
        <f t="shared" si="4"/>
        <v>0</v>
      </c>
      <c r="W24" s="620">
        <f t="shared" si="5"/>
        <v>131052.38095238095</v>
      </c>
    </row>
    <row r="25" spans="2:23" ht="21.95" customHeight="1" x14ac:dyDescent="0.15">
      <c r="B25" s="602">
        <v>11</v>
      </c>
      <c r="C25" s="621">
        <f t="shared" si="0"/>
        <v>1040</v>
      </c>
      <c r="D25" s="630">
        <f t="shared" si="1"/>
        <v>88</v>
      </c>
      <c r="E25" s="605">
        <f t="shared" si="6"/>
        <v>0</v>
      </c>
      <c r="F25" s="633">
        <f t="shared" si="7"/>
        <v>21300</v>
      </c>
      <c r="G25" s="633">
        <f t="shared" si="8"/>
        <v>24000</v>
      </c>
      <c r="H25" s="631">
        <f t="shared" si="13"/>
        <v>10</v>
      </c>
      <c r="I25" s="632">
        <f t="shared" si="14"/>
        <v>30</v>
      </c>
      <c r="J25" s="610">
        <f t="shared" si="2"/>
        <v>1564.2857142857142</v>
      </c>
      <c r="K25" s="609">
        <f t="shared" si="15"/>
        <v>135571.42857142855</v>
      </c>
      <c r="L25" s="610">
        <f t="shared" si="16"/>
        <v>156871.42857142855</v>
      </c>
      <c r="M25" s="625">
        <f t="shared" si="17"/>
        <v>158871.42857142855</v>
      </c>
      <c r="N25" s="612">
        <f t="shared" si="9"/>
        <v>1906457.1428571427</v>
      </c>
      <c r="O25" s="626">
        <f t="shared" si="10"/>
        <v>139571.42857142855</v>
      </c>
      <c r="P25" s="614">
        <f>IF($E$4="",0,IF($O25=0,0,VLOOKUP($O25,'3-1.標準報酬月額・保険料表'!$N$8:$O$57,2,TRUE)))</f>
        <v>142000</v>
      </c>
      <c r="Q25" s="627">
        <f t="shared" si="11"/>
        <v>160871.42857142855</v>
      </c>
      <c r="R25" s="628">
        <f>IF($E$4="",0,IF($Q25=0,0,VLOOKUP($Q25,'3-1.標準報酬月額・保険料表'!$N$8:$O$57,2,TRUE)))</f>
        <v>160000</v>
      </c>
      <c r="S25" s="613">
        <f t="shared" si="12"/>
        <v>163571.42857142855</v>
      </c>
      <c r="T25" s="617">
        <f>IF($E$4="",0,IF($S25=0,0,VLOOKUP($S25,'3-1.標準報酬月額・保険料表'!$N$8:$O$57,2,TRUE)))</f>
        <v>160000</v>
      </c>
      <c r="U25" s="629">
        <f t="shared" si="3"/>
        <v>0</v>
      </c>
      <c r="V25" s="619">
        <f t="shared" si="4"/>
        <v>0</v>
      </c>
      <c r="W25" s="620">
        <f t="shared" si="5"/>
        <v>135571.42857142855</v>
      </c>
    </row>
    <row r="26" spans="2:23" ht="21.95" customHeight="1" x14ac:dyDescent="0.15">
      <c r="B26" s="602">
        <v>12</v>
      </c>
      <c r="C26" s="621">
        <f t="shared" si="0"/>
        <v>1040</v>
      </c>
      <c r="D26" s="630">
        <f t="shared" si="1"/>
        <v>88</v>
      </c>
      <c r="E26" s="605">
        <f t="shared" si="6"/>
        <v>0</v>
      </c>
      <c r="F26" s="633">
        <f t="shared" si="7"/>
        <v>21300</v>
      </c>
      <c r="G26" s="633">
        <f t="shared" si="8"/>
        <v>25500</v>
      </c>
      <c r="H26" s="631">
        <f t="shared" si="13"/>
        <v>11</v>
      </c>
      <c r="I26" s="632">
        <f t="shared" si="14"/>
        <v>31</v>
      </c>
      <c r="J26" s="610">
        <f t="shared" si="2"/>
        <v>1616.4285714285713</v>
      </c>
      <c r="K26" s="609">
        <f t="shared" si="15"/>
        <v>140090.47619047618</v>
      </c>
      <c r="L26" s="610">
        <f t="shared" si="16"/>
        <v>161390.47619047618</v>
      </c>
      <c r="M26" s="625">
        <f t="shared" si="17"/>
        <v>163390.47619047618</v>
      </c>
      <c r="N26" s="612">
        <f t="shared" si="9"/>
        <v>1960685.7142857141</v>
      </c>
      <c r="O26" s="626">
        <f t="shared" si="10"/>
        <v>144090.47619047618</v>
      </c>
      <c r="P26" s="614">
        <f>IF($E$4="",0,IF($O26=0,0,VLOOKUP($O26,'3-1.標準報酬月額・保険料表'!$N$8:$O$57,2,TRUE)))</f>
        <v>142000</v>
      </c>
      <c r="Q26" s="627">
        <f t="shared" si="11"/>
        <v>165390.47619047618</v>
      </c>
      <c r="R26" s="628">
        <f>IF($E$4="",0,IF($Q26=0,0,VLOOKUP($Q26,'3-1.標準報酬月額・保険料表'!$N$8:$O$57,2,TRUE)))</f>
        <v>170000</v>
      </c>
      <c r="S26" s="613">
        <f t="shared" si="12"/>
        <v>169590.47619047618</v>
      </c>
      <c r="T26" s="617">
        <f>IF($E$4="",0,IF($S26=0,0,VLOOKUP($S26,'3-1.標準報酬月額・保険料表'!$N$8:$O$57,2,TRUE)))</f>
        <v>170000</v>
      </c>
      <c r="U26" s="629">
        <f t="shared" si="3"/>
        <v>0</v>
      </c>
      <c r="V26" s="619">
        <f t="shared" si="4"/>
        <v>0</v>
      </c>
      <c r="W26" s="620">
        <f t="shared" si="5"/>
        <v>140090.47619047618</v>
      </c>
    </row>
    <row r="27" spans="2:23" ht="21.95" customHeight="1" x14ac:dyDescent="0.15">
      <c r="B27" s="602">
        <v>13</v>
      </c>
      <c r="C27" s="621">
        <f t="shared" si="0"/>
        <v>1040</v>
      </c>
      <c r="D27" s="630">
        <f t="shared" si="1"/>
        <v>88</v>
      </c>
      <c r="E27" s="605">
        <f t="shared" si="6"/>
        <v>0</v>
      </c>
      <c r="F27" s="633">
        <f t="shared" si="7"/>
        <v>22500</v>
      </c>
      <c r="G27" s="633">
        <f t="shared" si="8"/>
        <v>25500</v>
      </c>
      <c r="H27" s="631">
        <f t="shared" si="13"/>
        <v>12</v>
      </c>
      <c r="I27" s="632">
        <f t="shared" si="14"/>
        <v>32</v>
      </c>
      <c r="J27" s="610">
        <f t="shared" si="2"/>
        <v>1668.5714285714287</v>
      </c>
      <c r="K27" s="609">
        <f t="shared" si="15"/>
        <v>144609.52380952382</v>
      </c>
      <c r="L27" s="610">
        <f t="shared" si="16"/>
        <v>167109.52380952382</v>
      </c>
      <c r="M27" s="625">
        <f t="shared" si="17"/>
        <v>169109.52380952382</v>
      </c>
      <c r="N27" s="612">
        <f t="shared" si="9"/>
        <v>2029314.2857142859</v>
      </c>
      <c r="O27" s="626">
        <f t="shared" si="10"/>
        <v>148609.52380952382</v>
      </c>
      <c r="P27" s="614">
        <f>IF($E$4="",0,IF($O27=0,0,VLOOKUP($O27,'3-1.標準報酬月額・保険料表'!$N$8:$O$57,2,TRUE)))</f>
        <v>150000</v>
      </c>
      <c r="Q27" s="627">
        <f t="shared" si="11"/>
        <v>171109.52380952382</v>
      </c>
      <c r="R27" s="628">
        <f>IF($E$4="",0,IF($Q27=0,0,VLOOKUP($Q27,'3-1.標準報酬月額・保険料表'!$N$8:$O$57,2,TRUE)))</f>
        <v>170000</v>
      </c>
      <c r="S27" s="613">
        <f t="shared" si="12"/>
        <v>174109.52380952382</v>
      </c>
      <c r="T27" s="617">
        <f>IF($E$4="",0,IF($S27=0,0,VLOOKUP($S27,'3-1.標準報酬月額・保険料表'!$N$8:$O$57,2,TRUE)))</f>
        <v>170000</v>
      </c>
      <c r="U27" s="629">
        <f t="shared" si="3"/>
        <v>0</v>
      </c>
      <c r="V27" s="619">
        <f t="shared" si="4"/>
        <v>0</v>
      </c>
      <c r="W27" s="620">
        <f t="shared" si="5"/>
        <v>144609.52380952382</v>
      </c>
    </row>
    <row r="28" spans="2:23" ht="21.95" customHeight="1" x14ac:dyDescent="0.15">
      <c r="B28" s="602">
        <v>14</v>
      </c>
      <c r="C28" s="621">
        <f t="shared" si="0"/>
        <v>1040</v>
      </c>
      <c r="D28" s="630">
        <f t="shared" si="1"/>
        <v>88</v>
      </c>
      <c r="E28" s="605">
        <f t="shared" si="6"/>
        <v>0</v>
      </c>
      <c r="F28" s="633">
        <f t="shared" si="7"/>
        <v>22500</v>
      </c>
      <c r="G28" s="633">
        <f t="shared" si="8"/>
        <v>27000</v>
      </c>
      <c r="H28" s="631">
        <f t="shared" si="13"/>
        <v>13</v>
      </c>
      <c r="I28" s="632">
        <f t="shared" si="14"/>
        <v>33</v>
      </c>
      <c r="J28" s="610">
        <f t="shared" si="2"/>
        <v>1720.7142857142858</v>
      </c>
      <c r="K28" s="609">
        <f t="shared" si="15"/>
        <v>149128.57142857145</v>
      </c>
      <c r="L28" s="610">
        <f t="shared" si="16"/>
        <v>171628.57142857145</v>
      </c>
      <c r="M28" s="625">
        <f t="shared" si="17"/>
        <v>173628.57142857145</v>
      </c>
      <c r="N28" s="612">
        <f t="shared" si="9"/>
        <v>2083542.8571428573</v>
      </c>
      <c r="O28" s="626">
        <f t="shared" si="10"/>
        <v>153128.57142857145</v>
      </c>
      <c r="P28" s="614">
        <f>IF($E$4="",0,IF($O28=0,0,VLOOKUP($O28,'3-1.標準報酬月額・保険料表'!$N$8:$O$57,2,TRUE)))</f>
        <v>150000</v>
      </c>
      <c r="Q28" s="627">
        <f t="shared" si="11"/>
        <v>175628.57142857145</v>
      </c>
      <c r="R28" s="628">
        <f>IF($E$4="",0,IF($Q28=0,0,VLOOKUP($Q28,'3-1.標準報酬月額・保険料表'!$N$8:$O$57,2,TRUE)))</f>
        <v>180000</v>
      </c>
      <c r="S28" s="613">
        <f t="shared" si="12"/>
        <v>180128.57142857145</v>
      </c>
      <c r="T28" s="617">
        <f>IF($E$4="",0,IF($S28=0,0,VLOOKUP($S28,'3-1.標準報酬月額・保険料表'!$N$8:$O$57,2,TRUE)))</f>
        <v>180000</v>
      </c>
      <c r="U28" s="629">
        <f t="shared" si="3"/>
        <v>0</v>
      </c>
      <c r="V28" s="619">
        <f t="shared" si="4"/>
        <v>0</v>
      </c>
      <c r="W28" s="620">
        <f t="shared" si="5"/>
        <v>149128.57142857145</v>
      </c>
    </row>
    <row r="29" spans="2:23" ht="21.95" customHeight="1" x14ac:dyDescent="0.15">
      <c r="B29" s="602">
        <v>15</v>
      </c>
      <c r="C29" s="621">
        <f t="shared" si="0"/>
        <v>1040</v>
      </c>
      <c r="D29" s="630">
        <f t="shared" si="1"/>
        <v>88</v>
      </c>
      <c r="E29" s="605">
        <f t="shared" si="6"/>
        <v>0</v>
      </c>
      <c r="F29" s="633">
        <f t="shared" si="7"/>
        <v>24000</v>
      </c>
      <c r="G29" s="633">
        <f t="shared" si="8"/>
        <v>27000</v>
      </c>
      <c r="H29" s="631">
        <f t="shared" si="13"/>
        <v>14</v>
      </c>
      <c r="I29" s="632">
        <f t="shared" si="14"/>
        <v>34</v>
      </c>
      <c r="J29" s="610">
        <f t="shared" si="2"/>
        <v>1772.8571428571429</v>
      </c>
      <c r="K29" s="609">
        <f t="shared" si="15"/>
        <v>153647.61904761905</v>
      </c>
      <c r="L29" s="610">
        <f t="shared" si="16"/>
        <v>177647.61904761905</v>
      </c>
      <c r="M29" s="625">
        <f t="shared" si="17"/>
        <v>179647.61904761905</v>
      </c>
      <c r="N29" s="612">
        <f t="shared" si="9"/>
        <v>2155771.4285714286</v>
      </c>
      <c r="O29" s="626">
        <f t="shared" si="10"/>
        <v>157647.61904761905</v>
      </c>
      <c r="P29" s="614">
        <f>IF($E$4="",0,IF($O29=0,0,VLOOKUP($O29,'3-1.標準報酬月額・保険料表'!$N$8:$O$57,2,TRUE)))</f>
        <v>160000</v>
      </c>
      <c r="Q29" s="627">
        <f t="shared" si="11"/>
        <v>181647.61904761905</v>
      </c>
      <c r="R29" s="628">
        <f>IF($E$4="",0,IF($Q29=0,0,VLOOKUP($Q29,'3-1.標準報酬月額・保険料表'!$N$8:$O$57,2,TRUE)))</f>
        <v>180000</v>
      </c>
      <c r="S29" s="613">
        <f t="shared" si="12"/>
        <v>184647.61904761905</v>
      </c>
      <c r="T29" s="617">
        <f>IF($E$4="",0,IF($S29=0,0,VLOOKUP($S29,'3-1.標準報酬月額・保険料表'!$N$8:$O$57,2,TRUE)))</f>
        <v>180000</v>
      </c>
      <c r="U29" s="629">
        <f t="shared" si="3"/>
        <v>0</v>
      </c>
      <c r="V29" s="619">
        <f t="shared" si="4"/>
        <v>0</v>
      </c>
      <c r="W29" s="620">
        <f t="shared" si="5"/>
        <v>153647.61904761905</v>
      </c>
    </row>
    <row r="30" spans="2:23" ht="21.95" customHeight="1" x14ac:dyDescent="0.15">
      <c r="B30" s="602">
        <v>16</v>
      </c>
      <c r="C30" s="621">
        <f t="shared" si="0"/>
        <v>1040</v>
      </c>
      <c r="D30" s="630">
        <f t="shared" si="1"/>
        <v>88</v>
      </c>
      <c r="E30" s="605">
        <f t="shared" si="6"/>
        <v>0</v>
      </c>
      <c r="F30" s="633">
        <f t="shared" si="7"/>
        <v>24000</v>
      </c>
      <c r="G30" s="633">
        <f t="shared" si="8"/>
        <v>28500</v>
      </c>
      <c r="H30" s="631">
        <f t="shared" si="13"/>
        <v>15</v>
      </c>
      <c r="I30" s="632">
        <f t="shared" si="14"/>
        <v>35</v>
      </c>
      <c r="J30" s="610">
        <f t="shared" si="2"/>
        <v>1825</v>
      </c>
      <c r="K30" s="609">
        <f t="shared" si="15"/>
        <v>158166.66666666666</v>
      </c>
      <c r="L30" s="610">
        <f t="shared" si="16"/>
        <v>182166.66666666666</v>
      </c>
      <c r="M30" s="625">
        <f t="shared" si="17"/>
        <v>184166.66666666666</v>
      </c>
      <c r="N30" s="612">
        <f t="shared" si="9"/>
        <v>2210000</v>
      </c>
      <c r="O30" s="626">
        <f t="shared" si="10"/>
        <v>162166.66666666666</v>
      </c>
      <c r="P30" s="614">
        <f>IF($E$4="",0,IF($O30=0,0,VLOOKUP($O30,'3-1.標準報酬月額・保険料表'!$N$8:$O$57,2,TRUE)))</f>
        <v>160000</v>
      </c>
      <c r="Q30" s="627">
        <f t="shared" si="11"/>
        <v>186166.66666666666</v>
      </c>
      <c r="R30" s="628">
        <f>IF($E$4="",0,IF($Q30=0,0,VLOOKUP($Q30,'3-1.標準報酬月額・保険料表'!$N$8:$O$57,2,TRUE)))</f>
        <v>190000</v>
      </c>
      <c r="S30" s="613">
        <f t="shared" si="12"/>
        <v>190666.66666666666</v>
      </c>
      <c r="T30" s="617">
        <f>IF($E$4="",0,IF($S30=0,0,VLOOKUP($S30,'3-1.標準報酬月額・保険料表'!$N$8:$O$57,2,TRUE)))</f>
        <v>190000</v>
      </c>
      <c r="U30" s="629">
        <f t="shared" si="3"/>
        <v>0</v>
      </c>
      <c r="V30" s="619">
        <f t="shared" si="4"/>
        <v>0</v>
      </c>
      <c r="W30" s="620">
        <f t="shared" si="5"/>
        <v>158166.66666666666</v>
      </c>
    </row>
    <row r="31" spans="2:23" ht="21.95" customHeight="1" x14ac:dyDescent="0.15">
      <c r="B31" s="602">
        <v>17</v>
      </c>
      <c r="C31" s="621">
        <f t="shared" si="0"/>
        <v>1040</v>
      </c>
      <c r="D31" s="630">
        <f t="shared" si="1"/>
        <v>88</v>
      </c>
      <c r="E31" s="605">
        <f t="shared" si="6"/>
        <v>0</v>
      </c>
      <c r="F31" s="633">
        <f t="shared" si="7"/>
        <v>25500</v>
      </c>
      <c r="G31" s="633">
        <f t="shared" si="8"/>
        <v>28500</v>
      </c>
      <c r="H31" s="631">
        <f t="shared" si="13"/>
        <v>16</v>
      </c>
      <c r="I31" s="632">
        <f t="shared" si="14"/>
        <v>36</v>
      </c>
      <c r="J31" s="610">
        <f t="shared" si="2"/>
        <v>1877.1428571428571</v>
      </c>
      <c r="K31" s="609">
        <f t="shared" si="15"/>
        <v>162685.71428571429</v>
      </c>
      <c r="L31" s="610">
        <f t="shared" si="16"/>
        <v>188185.71428571429</v>
      </c>
      <c r="M31" s="625">
        <f t="shared" si="17"/>
        <v>190185.71428571429</v>
      </c>
      <c r="N31" s="612">
        <f t="shared" si="9"/>
        <v>2282228.5714285714</v>
      </c>
      <c r="O31" s="626">
        <f t="shared" si="10"/>
        <v>166685.71428571429</v>
      </c>
      <c r="P31" s="614">
        <f>IF($E$4="",0,IF($O31=0,0,VLOOKUP($O31,'3-1.標準報酬月額・保険料表'!$N$8:$O$57,2,TRUE)))</f>
        <v>170000</v>
      </c>
      <c r="Q31" s="627">
        <f t="shared" si="11"/>
        <v>192185.71428571429</v>
      </c>
      <c r="R31" s="628">
        <f>IF($E$4="",0,IF($Q31=0,0,VLOOKUP($Q31,'3-1.標準報酬月額・保険料表'!$N$8:$O$57,2,TRUE)))</f>
        <v>190000</v>
      </c>
      <c r="S31" s="613">
        <f t="shared" si="12"/>
        <v>195185.71428571429</v>
      </c>
      <c r="T31" s="617">
        <f>IF($E$4="",0,IF($S31=0,0,VLOOKUP($S31,'3-1.標準報酬月額・保険料表'!$N$8:$O$57,2,TRUE)))</f>
        <v>200000</v>
      </c>
      <c r="U31" s="629">
        <f t="shared" si="3"/>
        <v>0</v>
      </c>
      <c r="V31" s="619">
        <f t="shared" si="4"/>
        <v>0</v>
      </c>
      <c r="W31" s="620">
        <f t="shared" si="5"/>
        <v>162685.71428571429</v>
      </c>
    </row>
    <row r="32" spans="2:23" ht="21.95" customHeight="1" x14ac:dyDescent="0.15">
      <c r="B32" s="602">
        <v>18</v>
      </c>
      <c r="C32" s="621">
        <f t="shared" si="0"/>
        <v>1040</v>
      </c>
      <c r="D32" s="630">
        <f t="shared" si="1"/>
        <v>88</v>
      </c>
      <c r="E32" s="605">
        <f t="shared" si="6"/>
        <v>0</v>
      </c>
      <c r="F32" s="633">
        <f t="shared" si="7"/>
        <v>25500</v>
      </c>
      <c r="G32" s="633">
        <f t="shared" si="8"/>
        <v>30000</v>
      </c>
      <c r="H32" s="631">
        <f t="shared" si="13"/>
        <v>17</v>
      </c>
      <c r="I32" s="632">
        <f t="shared" si="14"/>
        <v>37</v>
      </c>
      <c r="J32" s="610">
        <f t="shared" si="2"/>
        <v>1929.2857142857142</v>
      </c>
      <c r="K32" s="609">
        <f t="shared" si="15"/>
        <v>167204.76190476189</v>
      </c>
      <c r="L32" s="610">
        <f t="shared" si="16"/>
        <v>192704.76190476189</v>
      </c>
      <c r="M32" s="625">
        <f t="shared" si="17"/>
        <v>194704.76190476189</v>
      </c>
      <c r="N32" s="612">
        <f t="shared" si="9"/>
        <v>2336457.1428571427</v>
      </c>
      <c r="O32" s="626">
        <f t="shared" si="10"/>
        <v>171204.76190476189</v>
      </c>
      <c r="P32" s="614">
        <f>IF($E$4="",0,IF($O32=0,0,VLOOKUP($O32,'3-1.標準報酬月額・保険料表'!$N$8:$O$57,2,TRUE)))</f>
        <v>170000</v>
      </c>
      <c r="Q32" s="627">
        <f t="shared" si="11"/>
        <v>196704.76190476189</v>
      </c>
      <c r="R32" s="628">
        <f>IF($E$4="",0,IF($Q32=0,0,VLOOKUP($Q32,'3-1.標準報酬月額・保険料表'!$N$8:$O$57,2,TRUE)))</f>
        <v>200000</v>
      </c>
      <c r="S32" s="613">
        <f t="shared" si="12"/>
        <v>201204.76190476189</v>
      </c>
      <c r="T32" s="617">
        <f>IF($E$4="",0,IF($S32=0,0,VLOOKUP($S32,'3-1.標準報酬月額・保険料表'!$N$8:$O$57,2,TRUE)))</f>
        <v>200000</v>
      </c>
      <c r="U32" s="629">
        <f t="shared" si="3"/>
        <v>0</v>
      </c>
      <c r="V32" s="619">
        <f t="shared" si="4"/>
        <v>0</v>
      </c>
      <c r="W32" s="620">
        <f t="shared" si="5"/>
        <v>167204.76190476189</v>
      </c>
    </row>
    <row r="33" spans="2:23" ht="21.95" customHeight="1" x14ac:dyDescent="0.15">
      <c r="B33" s="602">
        <v>19</v>
      </c>
      <c r="C33" s="621">
        <f t="shared" si="0"/>
        <v>1040</v>
      </c>
      <c r="D33" s="630">
        <f t="shared" si="1"/>
        <v>88</v>
      </c>
      <c r="E33" s="605">
        <f t="shared" si="6"/>
        <v>0</v>
      </c>
      <c r="F33" s="633">
        <f t="shared" si="7"/>
        <v>27000</v>
      </c>
      <c r="G33" s="633">
        <f t="shared" si="8"/>
        <v>30000</v>
      </c>
      <c r="H33" s="631">
        <f t="shared" si="13"/>
        <v>18</v>
      </c>
      <c r="I33" s="632">
        <f t="shared" si="14"/>
        <v>38</v>
      </c>
      <c r="J33" s="610">
        <f t="shared" si="2"/>
        <v>1981.4285714285713</v>
      </c>
      <c r="K33" s="609">
        <f t="shared" si="15"/>
        <v>171723.8095238095</v>
      </c>
      <c r="L33" s="610">
        <f t="shared" si="16"/>
        <v>198723.8095238095</v>
      </c>
      <c r="M33" s="625">
        <f t="shared" si="17"/>
        <v>200723.8095238095</v>
      </c>
      <c r="N33" s="612">
        <f t="shared" si="9"/>
        <v>2408685.7142857141</v>
      </c>
      <c r="O33" s="626">
        <f t="shared" si="10"/>
        <v>175723.8095238095</v>
      </c>
      <c r="P33" s="614">
        <f>IF($E$4="",0,IF($O33=0,0,VLOOKUP($O33,'3-1.標準報酬月額・保険料表'!$N$8:$O$57,2,TRUE)))</f>
        <v>180000</v>
      </c>
      <c r="Q33" s="627">
        <f t="shared" si="11"/>
        <v>202723.8095238095</v>
      </c>
      <c r="R33" s="628">
        <f>IF($E$4="",0,IF($Q33=0,0,VLOOKUP($Q33,'3-1.標準報酬月額・保険料表'!$N$8:$O$57,2,TRUE)))</f>
        <v>200000</v>
      </c>
      <c r="S33" s="613">
        <f t="shared" si="12"/>
        <v>205723.8095238095</v>
      </c>
      <c r="T33" s="617">
        <f>IF($E$4="",0,IF($S33=0,0,VLOOKUP($S33,'3-1.標準報酬月額・保険料表'!$N$8:$O$57,2,TRUE)))</f>
        <v>200000</v>
      </c>
      <c r="U33" s="629">
        <f t="shared" si="3"/>
        <v>0</v>
      </c>
      <c r="V33" s="619">
        <f t="shared" si="4"/>
        <v>0</v>
      </c>
      <c r="W33" s="620">
        <f t="shared" si="5"/>
        <v>171723.8095238095</v>
      </c>
    </row>
    <row r="34" spans="2:23" ht="21.95" customHeight="1" x14ac:dyDescent="0.15">
      <c r="B34" s="602">
        <v>20</v>
      </c>
      <c r="C34" s="621">
        <f t="shared" si="0"/>
        <v>1040</v>
      </c>
      <c r="D34" s="630">
        <f t="shared" si="1"/>
        <v>88</v>
      </c>
      <c r="E34" s="605">
        <f t="shared" si="6"/>
        <v>0</v>
      </c>
      <c r="F34" s="633">
        <f t="shared" si="7"/>
        <v>27000</v>
      </c>
      <c r="G34" s="633">
        <f t="shared" si="8"/>
        <v>30000</v>
      </c>
      <c r="H34" s="631">
        <f t="shared" si="13"/>
        <v>19</v>
      </c>
      <c r="I34" s="632">
        <f t="shared" si="14"/>
        <v>39</v>
      </c>
      <c r="J34" s="610">
        <f t="shared" si="2"/>
        <v>2033.5714285714287</v>
      </c>
      <c r="K34" s="609">
        <f t="shared" si="15"/>
        <v>176242.85714285716</v>
      </c>
      <c r="L34" s="610">
        <f t="shared" si="16"/>
        <v>203242.85714285716</v>
      </c>
      <c r="M34" s="625">
        <f t="shared" si="17"/>
        <v>205242.85714285716</v>
      </c>
      <c r="N34" s="612">
        <f t="shared" si="9"/>
        <v>2462914.2857142859</v>
      </c>
      <c r="O34" s="626">
        <f t="shared" si="10"/>
        <v>180242.85714285716</v>
      </c>
      <c r="P34" s="614">
        <f>IF($E$4="",0,IF($O34=0,0,VLOOKUP($O34,'3-1.標準報酬月額・保険料表'!$N$8:$O$57,2,TRUE)))</f>
        <v>180000</v>
      </c>
      <c r="Q34" s="627">
        <f t="shared" si="11"/>
        <v>207242.85714285716</v>
      </c>
      <c r="R34" s="628">
        <f>IF($E$4="",0,IF($Q34=0,0,VLOOKUP($Q34,'3-1.標準報酬月額・保険料表'!$N$8:$O$57,2,TRUE)))</f>
        <v>200000</v>
      </c>
      <c r="S34" s="613">
        <f t="shared" si="12"/>
        <v>210242.85714285716</v>
      </c>
      <c r="T34" s="617">
        <f>IF($E$4="",0,IF($S34=0,0,VLOOKUP($S34,'3-1.標準報酬月額・保険料表'!$N$8:$O$57,2,TRUE)))</f>
        <v>220000</v>
      </c>
      <c r="U34" s="629">
        <f t="shared" si="3"/>
        <v>0</v>
      </c>
      <c r="V34" s="619">
        <f t="shared" si="4"/>
        <v>0</v>
      </c>
      <c r="W34" s="620">
        <f t="shared" si="5"/>
        <v>176242.85714285716</v>
      </c>
    </row>
    <row r="35" spans="2:23" ht="21.95" customHeight="1" x14ac:dyDescent="0.15">
      <c r="B35" s="602">
        <v>21</v>
      </c>
      <c r="C35" s="621" t="str">
        <f t="shared" si="0"/>
        <v/>
      </c>
      <c r="D35" s="630" t="str">
        <f t="shared" si="1"/>
        <v/>
      </c>
      <c r="E35" s="605">
        <f t="shared" si="6"/>
        <v>0</v>
      </c>
      <c r="F35" s="633">
        <f t="shared" si="7"/>
        <v>0</v>
      </c>
      <c r="G35" s="633">
        <f t="shared" si="8"/>
        <v>0</v>
      </c>
      <c r="H35" s="631" t="str">
        <f t="shared" si="13"/>
        <v/>
      </c>
      <c r="I35" s="632" t="str">
        <f t="shared" si="14"/>
        <v/>
      </c>
      <c r="J35" s="610" t="str">
        <f t="shared" si="2"/>
        <v/>
      </c>
      <c r="K35" s="609">
        <f t="shared" si="15"/>
        <v>0</v>
      </c>
      <c r="L35" s="610">
        <f t="shared" si="16"/>
        <v>0</v>
      </c>
      <c r="M35" s="625">
        <f t="shared" si="17"/>
        <v>0</v>
      </c>
      <c r="N35" s="612">
        <f t="shared" si="9"/>
        <v>0</v>
      </c>
      <c r="O35" s="626">
        <f t="shared" si="10"/>
        <v>0</v>
      </c>
      <c r="P35" s="614">
        <f>IF($E$4="",0,IF($O35=0,0,VLOOKUP($O35,'3-1.標準報酬月額・保険料表'!$N$8:$O$57,2,TRUE)))</f>
        <v>0</v>
      </c>
      <c r="Q35" s="627">
        <f t="shared" si="11"/>
        <v>0</v>
      </c>
      <c r="R35" s="628">
        <f>IF($E$4="",0,IF($Q35=0,0,VLOOKUP($Q35,'3-1.標準報酬月額・保険料表'!$N$8:$O$57,2,TRUE)))</f>
        <v>0</v>
      </c>
      <c r="S35" s="613">
        <f t="shared" si="12"/>
        <v>0</v>
      </c>
      <c r="T35" s="617">
        <f>IF($E$4="",0,IF($S35=0,0,VLOOKUP($S35,'3-1.標準報酬月額・保険料表'!$N$8:$O$57,2,TRUE)))</f>
        <v>0</v>
      </c>
      <c r="U35" s="629">
        <f t="shared" si="3"/>
        <v>0</v>
      </c>
      <c r="V35" s="619">
        <f t="shared" si="4"/>
        <v>0</v>
      </c>
      <c r="W35" s="620">
        <f t="shared" si="5"/>
        <v>0</v>
      </c>
    </row>
    <row r="36" spans="2:23" ht="21.95" customHeight="1" x14ac:dyDescent="0.15">
      <c r="B36" s="602">
        <v>22</v>
      </c>
      <c r="C36" s="621" t="str">
        <f t="shared" si="0"/>
        <v/>
      </c>
      <c r="D36" s="630" t="str">
        <f t="shared" si="1"/>
        <v/>
      </c>
      <c r="E36" s="605">
        <f t="shared" si="6"/>
        <v>0</v>
      </c>
      <c r="F36" s="633">
        <f t="shared" si="7"/>
        <v>0</v>
      </c>
      <c r="G36" s="633">
        <f t="shared" si="8"/>
        <v>0</v>
      </c>
      <c r="H36" s="631" t="str">
        <f t="shared" si="13"/>
        <v/>
      </c>
      <c r="I36" s="632" t="str">
        <f t="shared" si="14"/>
        <v/>
      </c>
      <c r="J36" s="610" t="str">
        <f t="shared" si="2"/>
        <v/>
      </c>
      <c r="K36" s="609">
        <f t="shared" si="15"/>
        <v>0</v>
      </c>
      <c r="L36" s="610">
        <f t="shared" si="16"/>
        <v>0</v>
      </c>
      <c r="M36" s="625">
        <f t="shared" si="17"/>
        <v>0</v>
      </c>
      <c r="N36" s="612">
        <f t="shared" si="9"/>
        <v>0</v>
      </c>
      <c r="O36" s="626">
        <f t="shared" si="10"/>
        <v>0</v>
      </c>
      <c r="P36" s="614">
        <f>IF($E$4="",0,IF($O36=0,0,VLOOKUP($O36,'3-1.標準報酬月額・保険料表'!$N$8:$O$57,2,TRUE)))</f>
        <v>0</v>
      </c>
      <c r="Q36" s="627">
        <f t="shared" si="11"/>
        <v>0</v>
      </c>
      <c r="R36" s="628">
        <f>IF($E$4="",0,IF($Q36=0,0,VLOOKUP($Q36,'3-1.標準報酬月額・保険料表'!$N$8:$O$57,2,TRUE)))</f>
        <v>0</v>
      </c>
      <c r="S36" s="613">
        <f t="shared" si="12"/>
        <v>0</v>
      </c>
      <c r="T36" s="617">
        <f>IF($E$4="",0,IF($S36=0,0,VLOOKUP($S36,'3-1.標準報酬月額・保険料表'!$N$8:$O$57,2,TRUE)))</f>
        <v>0</v>
      </c>
      <c r="U36" s="629">
        <f t="shared" si="3"/>
        <v>0</v>
      </c>
      <c r="V36" s="619">
        <f t="shared" si="4"/>
        <v>0</v>
      </c>
      <c r="W36" s="620">
        <f t="shared" si="5"/>
        <v>0</v>
      </c>
    </row>
    <row r="37" spans="2:23" ht="21.95" customHeight="1" x14ac:dyDescent="0.15">
      <c r="B37" s="602">
        <v>23</v>
      </c>
      <c r="C37" s="621" t="str">
        <f t="shared" si="0"/>
        <v/>
      </c>
      <c r="D37" s="630" t="str">
        <f t="shared" si="1"/>
        <v/>
      </c>
      <c r="E37" s="605">
        <f t="shared" si="6"/>
        <v>0</v>
      </c>
      <c r="F37" s="633">
        <f t="shared" si="7"/>
        <v>0</v>
      </c>
      <c r="G37" s="633">
        <f t="shared" si="8"/>
        <v>0</v>
      </c>
      <c r="H37" s="631" t="str">
        <f t="shared" si="13"/>
        <v/>
      </c>
      <c r="I37" s="632" t="str">
        <f t="shared" si="14"/>
        <v/>
      </c>
      <c r="J37" s="610" t="str">
        <f t="shared" si="2"/>
        <v/>
      </c>
      <c r="K37" s="609">
        <f t="shared" si="15"/>
        <v>0</v>
      </c>
      <c r="L37" s="610">
        <f t="shared" si="16"/>
        <v>0</v>
      </c>
      <c r="M37" s="625">
        <f t="shared" si="17"/>
        <v>0</v>
      </c>
      <c r="N37" s="612">
        <f t="shared" si="9"/>
        <v>0</v>
      </c>
      <c r="O37" s="626">
        <f t="shared" si="10"/>
        <v>0</v>
      </c>
      <c r="P37" s="614">
        <f>IF($E$4="",0,IF($O37=0,0,VLOOKUP($O37,'3-1.標準報酬月額・保険料表'!$N$8:$O$57,2,TRUE)))</f>
        <v>0</v>
      </c>
      <c r="Q37" s="627">
        <f t="shared" si="11"/>
        <v>0</v>
      </c>
      <c r="R37" s="628">
        <f>IF($E$4="",0,IF($Q37=0,0,VLOOKUP($Q37,'3-1.標準報酬月額・保険料表'!$N$8:$O$57,2,TRUE)))</f>
        <v>0</v>
      </c>
      <c r="S37" s="613">
        <f t="shared" si="12"/>
        <v>0</v>
      </c>
      <c r="T37" s="617">
        <f>IF($E$4="",0,IF($S37=0,0,VLOOKUP($S37,'3-1.標準報酬月額・保険料表'!$N$8:$O$57,2,TRUE)))</f>
        <v>0</v>
      </c>
      <c r="U37" s="629">
        <f t="shared" si="3"/>
        <v>0</v>
      </c>
      <c r="V37" s="619">
        <f t="shared" si="4"/>
        <v>0</v>
      </c>
      <c r="W37" s="620">
        <f t="shared" si="5"/>
        <v>0</v>
      </c>
    </row>
    <row r="38" spans="2:23" ht="21.95" customHeight="1" x14ac:dyDescent="0.15">
      <c r="B38" s="602">
        <v>24</v>
      </c>
      <c r="C38" s="621" t="str">
        <f t="shared" si="0"/>
        <v/>
      </c>
      <c r="D38" s="630" t="str">
        <f t="shared" si="1"/>
        <v/>
      </c>
      <c r="E38" s="605">
        <f t="shared" si="6"/>
        <v>0</v>
      </c>
      <c r="F38" s="633">
        <f t="shared" si="7"/>
        <v>0</v>
      </c>
      <c r="G38" s="633">
        <f t="shared" si="8"/>
        <v>0</v>
      </c>
      <c r="H38" s="631" t="str">
        <f t="shared" si="13"/>
        <v/>
      </c>
      <c r="I38" s="632" t="str">
        <f t="shared" si="14"/>
        <v/>
      </c>
      <c r="J38" s="610" t="str">
        <f t="shared" si="2"/>
        <v/>
      </c>
      <c r="K38" s="609">
        <f t="shared" si="15"/>
        <v>0</v>
      </c>
      <c r="L38" s="610">
        <f t="shared" si="16"/>
        <v>0</v>
      </c>
      <c r="M38" s="625">
        <f t="shared" si="17"/>
        <v>0</v>
      </c>
      <c r="N38" s="612">
        <f t="shared" si="9"/>
        <v>0</v>
      </c>
      <c r="O38" s="626">
        <f t="shared" si="10"/>
        <v>0</v>
      </c>
      <c r="P38" s="614">
        <f>IF($E$4="",0,IF($O38=0,0,VLOOKUP($O38,'3-1.標準報酬月額・保険料表'!$N$8:$O$57,2,TRUE)))</f>
        <v>0</v>
      </c>
      <c r="Q38" s="627">
        <f t="shared" si="11"/>
        <v>0</v>
      </c>
      <c r="R38" s="628">
        <f>IF($E$4="",0,IF($Q38=0,0,VLOOKUP($Q38,'3-1.標準報酬月額・保険料表'!$N$8:$O$57,2,TRUE)))</f>
        <v>0</v>
      </c>
      <c r="S38" s="613">
        <f t="shared" si="12"/>
        <v>0</v>
      </c>
      <c r="T38" s="617">
        <f>IF($E$4="",0,IF($S38=0,0,VLOOKUP($S38,'3-1.標準報酬月額・保険料表'!$N$8:$O$57,2,TRUE)))</f>
        <v>0</v>
      </c>
      <c r="U38" s="629">
        <f t="shared" si="3"/>
        <v>0</v>
      </c>
      <c r="V38" s="619">
        <f t="shared" si="4"/>
        <v>0</v>
      </c>
      <c r="W38" s="620">
        <f t="shared" si="5"/>
        <v>0</v>
      </c>
    </row>
    <row r="39" spans="2:23" ht="21.95" customHeight="1" x14ac:dyDescent="0.15">
      <c r="B39" s="602">
        <v>25</v>
      </c>
      <c r="C39" s="621" t="str">
        <f t="shared" si="0"/>
        <v/>
      </c>
      <c r="D39" s="630" t="str">
        <f t="shared" si="1"/>
        <v/>
      </c>
      <c r="E39" s="605">
        <f t="shared" si="6"/>
        <v>0</v>
      </c>
      <c r="F39" s="633">
        <f t="shared" si="7"/>
        <v>0</v>
      </c>
      <c r="G39" s="633">
        <f t="shared" si="8"/>
        <v>0</v>
      </c>
      <c r="H39" s="631" t="str">
        <f t="shared" si="13"/>
        <v/>
      </c>
      <c r="I39" s="632" t="str">
        <f t="shared" si="14"/>
        <v/>
      </c>
      <c r="J39" s="610" t="str">
        <f t="shared" si="2"/>
        <v/>
      </c>
      <c r="K39" s="609">
        <f t="shared" si="15"/>
        <v>0</v>
      </c>
      <c r="L39" s="610">
        <f t="shared" si="16"/>
        <v>0</v>
      </c>
      <c r="M39" s="625">
        <f t="shared" si="17"/>
        <v>0</v>
      </c>
      <c r="N39" s="612">
        <f t="shared" si="9"/>
        <v>0</v>
      </c>
      <c r="O39" s="626">
        <f t="shared" si="10"/>
        <v>0</v>
      </c>
      <c r="P39" s="614">
        <f>IF($E$4="",0,IF($O39=0,0,VLOOKUP($O39,'3-1.標準報酬月額・保険料表'!$N$8:$O$57,2,TRUE)))</f>
        <v>0</v>
      </c>
      <c r="Q39" s="627">
        <f t="shared" si="11"/>
        <v>0</v>
      </c>
      <c r="R39" s="628">
        <f>IF($E$4="",0,IF($Q39=0,0,VLOOKUP($Q39,'3-1.標準報酬月額・保険料表'!$N$8:$O$57,2,TRUE)))</f>
        <v>0</v>
      </c>
      <c r="S39" s="613">
        <f t="shared" si="12"/>
        <v>0</v>
      </c>
      <c r="T39" s="617">
        <f>IF($E$4="",0,IF($S39=0,0,VLOOKUP($S39,'3-1.標準報酬月額・保険料表'!$N$8:$O$57,2,TRUE)))</f>
        <v>0</v>
      </c>
      <c r="U39" s="629">
        <f t="shared" si="3"/>
        <v>0</v>
      </c>
      <c r="V39" s="619">
        <f t="shared" si="4"/>
        <v>0</v>
      </c>
      <c r="W39" s="620">
        <f t="shared" si="5"/>
        <v>0</v>
      </c>
    </row>
    <row r="40" spans="2:23" ht="21.95" customHeight="1" x14ac:dyDescent="0.15">
      <c r="B40" s="602">
        <v>26</v>
      </c>
      <c r="C40" s="621" t="str">
        <f t="shared" si="0"/>
        <v/>
      </c>
      <c r="D40" s="630" t="str">
        <f t="shared" si="1"/>
        <v/>
      </c>
      <c r="E40" s="605">
        <f t="shared" si="6"/>
        <v>0</v>
      </c>
      <c r="F40" s="633">
        <f t="shared" si="7"/>
        <v>0</v>
      </c>
      <c r="G40" s="633">
        <f t="shared" si="8"/>
        <v>0</v>
      </c>
      <c r="H40" s="631" t="str">
        <f t="shared" si="13"/>
        <v/>
      </c>
      <c r="I40" s="632" t="str">
        <f t="shared" si="14"/>
        <v/>
      </c>
      <c r="J40" s="610" t="str">
        <f t="shared" si="2"/>
        <v/>
      </c>
      <c r="K40" s="609">
        <f t="shared" si="15"/>
        <v>0</v>
      </c>
      <c r="L40" s="610">
        <f t="shared" si="16"/>
        <v>0</v>
      </c>
      <c r="M40" s="625">
        <f t="shared" si="17"/>
        <v>0</v>
      </c>
      <c r="N40" s="612">
        <f t="shared" si="9"/>
        <v>0</v>
      </c>
      <c r="O40" s="626">
        <f t="shared" si="10"/>
        <v>0</v>
      </c>
      <c r="P40" s="614">
        <f>IF($E$4="",0,IF($O40=0,0,VLOOKUP($O40,'3-1.標準報酬月額・保険料表'!$N$8:$O$57,2,TRUE)))</f>
        <v>0</v>
      </c>
      <c r="Q40" s="627">
        <f t="shared" si="11"/>
        <v>0</v>
      </c>
      <c r="R40" s="628">
        <f>IF($E$4="",0,IF($Q40=0,0,VLOOKUP($Q40,'3-1.標準報酬月額・保険料表'!$N$8:$O$57,2,TRUE)))</f>
        <v>0</v>
      </c>
      <c r="S40" s="613">
        <f t="shared" si="12"/>
        <v>0</v>
      </c>
      <c r="T40" s="617">
        <f>IF($E$4="",0,IF($S40=0,0,VLOOKUP($S40,'3-1.標準報酬月額・保険料表'!$N$8:$O$57,2,TRUE)))</f>
        <v>0</v>
      </c>
      <c r="U40" s="629">
        <f t="shared" si="3"/>
        <v>0</v>
      </c>
      <c r="V40" s="619">
        <f t="shared" si="4"/>
        <v>0</v>
      </c>
      <c r="W40" s="620">
        <f t="shared" si="5"/>
        <v>0</v>
      </c>
    </row>
    <row r="41" spans="2:23" ht="21.95" customHeight="1" x14ac:dyDescent="0.15">
      <c r="B41" s="602">
        <v>27</v>
      </c>
      <c r="C41" s="621" t="str">
        <f t="shared" si="0"/>
        <v/>
      </c>
      <c r="D41" s="630" t="str">
        <f t="shared" si="1"/>
        <v/>
      </c>
      <c r="E41" s="605">
        <f t="shared" si="6"/>
        <v>0</v>
      </c>
      <c r="F41" s="633">
        <f t="shared" si="7"/>
        <v>0</v>
      </c>
      <c r="G41" s="633">
        <f t="shared" si="8"/>
        <v>0</v>
      </c>
      <c r="H41" s="631" t="str">
        <f t="shared" si="13"/>
        <v/>
      </c>
      <c r="I41" s="632" t="str">
        <f t="shared" si="14"/>
        <v/>
      </c>
      <c r="J41" s="610" t="str">
        <f t="shared" si="2"/>
        <v/>
      </c>
      <c r="K41" s="609">
        <f t="shared" si="15"/>
        <v>0</v>
      </c>
      <c r="L41" s="610">
        <f t="shared" si="16"/>
        <v>0</v>
      </c>
      <c r="M41" s="625">
        <f t="shared" si="17"/>
        <v>0</v>
      </c>
      <c r="N41" s="612">
        <f t="shared" si="9"/>
        <v>0</v>
      </c>
      <c r="O41" s="626">
        <f t="shared" si="10"/>
        <v>0</v>
      </c>
      <c r="P41" s="614">
        <f>IF($E$4="",0,IF($O41=0,0,VLOOKUP($O41,'3-1.標準報酬月額・保険料表'!$N$8:$O$57,2,TRUE)))</f>
        <v>0</v>
      </c>
      <c r="Q41" s="627">
        <f t="shared" si="11"/>
        <v>0</v>
      </c>
      <c r="R41" s="628">
        <f>IF($E$4="",0,IF($Q41=0,0,VLOOKUP($Q41,'3-1.標準報酬月額・保険料表'!$N$8:$O$57,2,TRUE)))</f>
        <v>0</v>
      </c>
      <c r="S41" s="613">
        <f t="shared" si="12"/>
        <v>0</v>
      </c>
      <c r="T41" s="617">
        <f>IF($E$4="",0,IF($S41=0,0,VLOOKUP($S41,'3-1.標準報酬月額・保険料表'!$N$8:$O$57,2,TRUE)))</f>
        <v>0</v>
      </c>
      <c r="U41" s="629">
        <f t="shared" si="3"/>
        <v>0</v>
      </c>
      <c r="V41" s="619">
        <f t="shared" si="4"/>
        <v>0</v>
      </c>
      <c r="W41" s="620">
        <f t="shared" si="5"/>
        <v>0</v>
      </c>
    </row>
    <row r="42" spans="2:23" ht="21.95" customHeight="1" x14ac:dyDescent="0.15">
      <c r="B42" s="602">
        <v>28</v>
      </c>
      <c r="C42" s="621" t="str">
        <f t="shared" si="0"/>
        <v/>
      </c>
      <c r="D42" s="630" t="str">
        <f t="shared" si="1"/>
        <v/>
      </c>
      <c r="E42" s="605">
        <f t="shared" si="6"/>
        <v>0</v>
      </c>
      <c r="F42" s="633">
        <f t="shared" si="7"/>
        <v>0</v>
      </c>
      <c r="G42" s="633">
        <f t="shared" si="8"/>
        <v>0</v>
      </c>
      <c r="H42" s="631" t="str">
        <f t="shared" si="13"/>
        <v/>
      </c>
      <c r="I42" s="632" t="str">
        <f t="shared" si="14"/>
        <v/>
      </c>
      <c r="J42" s="610" t="str">
        <f t="shared" si="2"/>
        <v/>
      </c>
      <c r="K42" s="609">
        <f t="shared" si="15"/>
        <v>0</v>
      </c>
      <c r="L42" s="610">
        <f t="shared" si="16"/>
        <v>0</v>
      </c>
      <c r="M42" s="625">
        <f t="shared" si="17"/>
        <v>0</v>
      </c>
      <c r="N42" s="612">
        <f t="shared" si="9"/>
        <v>0</v>
      </c>
      <c r="O42" s="626">
        <f t="shared" si="10"/>
        <v>0</v>
      </c>
      <c r="P42" s="614">
        <f>IF($E$4="",0,IF($O42=0,0,VLOOKUP($O42,'3-1.標準報酬月額・保険料表'!$N$8:$O$57,2,TRUE)))</f>
        <v>0</v>
      </c>
      <c r="Q42" s="627">
        <f t="shared" si="11"/>
        <v>0</v>
      </c>
      <c r="R42" s="628">
        <f>IF($E$4="",0,IF($Q42=0,0,VLOOKUP($Q42,'3-1.標準報酬月額・保険料表'!$N$8:$O$57,2,TRUE)))</f>
        <v>0</v>
      </c>
      <c r="S42" s="613">
        <f t="shared" si="12"/>
        <v>0</v>
      </c>
      <c r="T42" s="617">
        <f>IF($E$4="",0,IF($S42=0,0,VLOOKUP($S42,'3-1.標準報酬月額・保険料表'!$N$8:$O$57,2,TRUE)))</f>
        <v>0</v>
      </c>
      <c r="U42" s="629">
        <f t="shared" si="3"/>
        <v>0</v>
      </c>
      <c r="V42" s="619">
        <f t="shared" si="4"/>
        <v>0</v>
      </c>
      <c r="W42" s="620">
        <f t="shared" si="5"/>
        <v>0</v>
      </c>
    </row>
    <row r="43" spans="2:23" ht="21.95" customHeight="1" x14ac:dyDescent="0.15">
      <c r="B43" s="602">
        <v>29</v>
      </c>
      <c r="C43" s="621" t="str">
        <f t="shared" si="0"/>
        <v/>
      </c>
      <c r="D43" s="630" t="str">
        <f t="shared" si="1"/>
        <v/>
      </c>
      <c r="E43" s="605">
        <f t="shared" si="6"/>
        <v>0</v>
      </c>
      <c r="F43" s="633">
        <f t="shared" si="7"/>
        <v>0</v>
      </c>
      <c r="G43" s="633">
        <f t="shared" si="8"/>
        <v>0</v>
      </c>
      <c r="H43" s="631" t="str">
        <f t="shared" si="13"/>
        <v/>
      </c>
      <c r="I43" s="632" t="str">
        <f t="shared" si="14"/>
        <v/>
      </c>
      <c r="J43" s="610" t="str">
        <f t="shared" si="2"/>
        <v/>
      </c>
      <c r="K43" s="609">
        <f t="shared" si="15"/>
        <v>0</v>
      </c>
      <c r="L43" s="610">
        <f t="shared" si="16"/>
        <v>0</v>
      </c>
      <c r="M43" s="625">
        <f t="shared" si="17"/>
        <v>0</v>
      </c>
      <c r="N43" s="612">
        <f t="shared" si="9"/>
        <v>0</v>
      </c>
      <c r="O43" s="626">
        <f t="shared" si="10"/>
        <v>0</v>
      </c>
      <c r="P43" s="614">
        <f>IF($E$4="",0,IF($O43=0,0,VLOOKUP($O43,'3-1.標準報酬月額・保険料表'!$N$8:$O$57,2,TRUE)))</f>
        <v>0</v>
      </c>
      <c r="Q43" s="627">
        <f t="shared" si="11"/>
        <v>0</v>
      </c>
      <c r="R43" s="628">
        <f>IF($E$4="",0,IF($Q43=0,0,VLOOKUP($Q43,'3-1.標準報酬月額・保険料表'!$N$8:$O$57,2,TRUE)))</f>
        <v>0</v>
      </c>
      <c r="S43" s="613">
        <f t="shared" si="12"/>
        <v>0</v>
      </c>
      <c r="T43" s="617">
        <f>IF($E$4="",0,IF($S43=0,0,VLOOKUP($S43,'3-1.標準報酬月額・保険料表'!$N$8:$O$57,2,TRUE)))</f>
        <v>0</v>
      </c>
      <c r="U43" s="629">
        <f t="shared" si="3"/>
        <v>0</v>
      </c>
      <c r="V43" s="619">
        <f t="shared" si="4"/>
        <v>0</v>
      </c>
      <c r="W43" s="620">
        <f t="shared" si="5"/>
        <v>0</v>
      </c>
    </row>
    <row r="44" spans="2:23" ht="21.95" customHeight="1" thickBot="1" x14ac:dyDescent="0.2">
      <c r="B44" s="602">
        <v>30</v>
      </c>
      <c r="C44" s="634" t="str">
        <f t="shared" si="0"/>
        <v/>
      </c>
      <c r="D44" s="635" t="str">
        <f t="shared" si="1"/>
        <v/>
      </c>
      <c r="E44" s="605">
        <f t="shared" si="6"/>
        <v>0</v>
      </c>
      <c r="F44" s="633">
        <f t="shared" si="7"/>
        <v>0</v>
      </c>
      <c r="G44" s="633">
        <f t="shared" si="8"/>
        <v>0</v>
      </c>
      <c r="H44" s="631" t="str">
        <f t="shared" si="13"/>
        <v/>
      </c>
      <c r="I44" s="632" t="str">
        <f t="shared" si="14"/>
        <v/>
      </c>
      <c r="J44" s="610" t="str">
        <f t="shared" si="2"/>
        <v/>
      </c>
      <c r="K44" s="609">
        <f t="shared" si="15"/>
        <v>0</v>
      </c>
      <c r="L44" s="610">
        <f t="shared" si="16"/>
        <v>0</v>
      </c>
      <c r="M44" s="636">
        <f t="shared" si="17"/>
        <v>0</v>
      </c>
      <c r="N44" s="612">
        <f t="shared" si="9"/>
        <v>0</v>
      </c>
      <c r="O44" s="637">
        <f t="shared" si="10"/>
        <v>0</v>
      </c>
      <c r="P44" s="638">
        <f>IF($E$4="",0,IF($O44=0,0,VLOOKUP($O44,'3-1.標準報酬月額・保険料表'!$N$8:$O$57,2,TRUE)))</f>
        <v>0</v>
      </c>
      <c r="Q44" s="639">
        <f t="shared" si="11"/>
        <v>0</v>
      </c>
      <c r="R44" s="640">
        <f>IF($E$4="",0,IF($Q44=0,0,VLOOKUP($Q44,'3-1.標準報酬月額・保険料表'!$N$8:$O$57,2,TRUE)))</f>
        <v>0</v>
      </c>
      <c r="S44" s="641">
        <f t="shared" si="12"/>
        <v>0</v>
      </c>
      <c r="T44" s="642">
        <f>IF($E$4="",0,IF($S44=0,0,VLOOKUP($S44,'3-1.標準報酬月額・保険料表'!$N$8:$O$57,2,TRUE)))</f>
        <v>0</v>
      </c>
      <c r="U44" s="629">
        <f t="shared" si="3"/>
        <v>0</v>
      </c>
      <c r="V44" s="643">
        <f t="shared" si="4"/>
        <v>0</v>
      </c>
      <c r="W44" s="620">
        <f t="shared" si="5"/>
        <v>0</v>
      </c>
    </row>
  </sheetData>
  <sheetProtection algorithmName="SHA-512" hashValue="O/aE2ynzINsQBvWxcZtrkeYZYE2i50RJoYfOsuo6dA+exY8a+DF/CfpmrEDJg1cD12NWMxq0Ju48fPI5JI1xgA==" saltValue="unZfX+7MmRrbG/aVlMx8sA==" spinCount="100000" sheet="1" objects="1" scenarios="1"/>
  <mergeCells count="14">
    <mergeCell ref="Q13:R13"/>
    <mergeCell ref="S13:T13"/>
    <mergeCell ref="G10:H11"/>
    <mergeCell ref="S10:T10"/>
    <mergeCell ref="S11:T11"/>
    <mergeCell ref="G12:H12"/>
    <mergeCell ref="C5:E5"/>
    <mergeCell ref="M8:N8"/>
    <mergeCell ref="S8:U8"/>
    <mergeCell ref="S9:T9"/>
    <mergeCell ref="M4:M5"/>
    <mergeCell ref="N4:N5"/>
    <mergeCell ref="O4:O5"/>
    <mergeCell ref="P4:P5"/>
  </mergeCells>
  <phoneticPr fontId="3"/>
  <conditionalFormatting sqref="K15:K44">
    <cfRule type="expression" dxfId="11" priority="1">
      <formula>$K15&lt;88000</formula>
    </cfRule>
  </conditionalFormatting>
  <conditionalFormatting sqref="N15:N44">
    <cfRule type="expression" dxfId="10" priority="2">
      <formula>N15&gt;=$M$13</formula>
    </cfRule>
    <cfRule type="expression" dxfId="9" priority="3">
      <formula>N15&gt;=M$12</formula>
    </cfRule>
    <cfRule type="expression" dxfId="8" priority="4">
      <formula>N15&gt;$M$11</formula>
    </cfRule>
    <cfRule type="expression" dxfId="7" priority="5">
      <formula>N15&gt;$M$10</formula>
    </cfRule>
    <cfRule type="expression" dxfId="6" priority="6">
      <formula>N15&lt;=$M$9</formula>
    </cfRule>
  </conditionalFormatting>
  <pageMargins left="0.59055118110236227" right="0.59055118110236227" top="0.78740157480314965" bottom="0.59055118110236227" header="0.51181102362204722" footer="0.51181102362204722"/>
  <pageSetup paperSize="9" scale="70" pageOrder="overThenDown" orientation="landscape" r:id="rId1"/>
  <headerFooter alignWithMargins="0">
    <oddFooter>&amp;C&amp;P</oddFooter>
  </headerFooter>
  <rowBreaks count="1" manualBreakCount="1">
    <brk id="29" max="4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メニューＭＡＰ＆操作手順</vt:lpstr>
      <vt:lpstr>1-1.従業員データ給与改定案入力画面</vt:lpstr>
      <vt:lpstr>2-2.保険料・地方税等入力画面</vt:lpstr>
      <vt:lpstr>4-0.設定 仕様概要</vt:lpstr>
      <vt:lpstr>4-1.手当等支給メニュー</vt:lpstr>
      <vt:lpstr>4-2.手当等支給メニューお知らせ！</vt:lpstr>
      <vt:lpstr>5-1.併用メニュー（２年目）</vt:lpstr>
      <vt:lpstr>5-2.併用メニューお知らせ！（２年目）</vt:lpstr>
      <vt:lpstr>4-1.参照シートー１</vt:lpstr>
      <vt:lpstr>4-1.参照シートー２</vt:lpstr>
      <vt:lpstr>3-1.標準報酬月額・保険料表</vt:lpstr>
      <vt:lpstr>3-2.所得算出参照表</vt:lpstr>
      <vt:lpstr>６.使用上の注意</vt:lpstr>
      <vt:lpstr>'1-1.従業員データ給与改定案入力画面'!Print_Area</vt:lpstr>
      <vt:lpstr>'2-2.保険料・地方税等入力画面'!Print_Area</vt:lpstr>
      <vt:lpstr>'4-1.参照シートー１'!Print_Area</vt:lpstr>
      <vt:lpstr>'4-1.参照シートー２'!Print_Area</vt:lpstr>
      <vt:lpstr>'4-1.手当等支給メニュー'!Print_Area</vt:lpstr>
      <vt:lpstr>'4-2.手当等支給メニューお知らせ！'!Print_Area</vt:lpstr>
      <vt:lpstr>'5-1.併用メニュー（２年目）'!Print_Area</vt:lpstr>
      <vt:lpstr>'5-2.併用メニューお知らせ！（２年目）'!Print_Area</vt:lpstr>
      <vt:lpstr>'６.使用上の注意'!Print_Area</vt:lpstr>
      <vt:lpstr>'メニューＭＡＰ＆操作手順'!Print_Area</vt:lpstr>
      <vt:lpstr>'1-1.従業員データ給与改定案入力画面'!Print_Titles</vt:lpstr>
      <vt:lpstr>'4-2.手当等支給メニューお知らせ！'!Print_Titles</vt:lpstr>
      <vt:lpstr>'5-1.併用メニュー（２年目）'!Print_Titles</vt:lpstr>
      <vt:lpstr>'5-2.併用メニューお知らせ！（２年目）'!Print_Titles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横井人事労務サポート事務所</dc:creator>
  <cp:lastModifiedBy>AKINORI YOKOI</cp:lastModifiedBy>
  <cp:lastPrinted>2023-12-17T06:42:53Z</cp:lastPrinted>
  <dcterms:created xsi:type="dcterms:W3CDTF">2004-10-19T09:01:56Z</dcterms:created>
  <dcterms:modified xsi:type="dcterms:W3CDTF">2024-01-09T01:42:43Z</dcterms:modified>
</cp:coreProperties>
</file>