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D:\22-2賃金ソフト（保護あり）(Excel2010)2023.7.31\キャリアアップ助成金活用シミュレーションソフト\"/>
    </mc:Choice>
  </mc:AlternateContent>
  <xr:revisionPtr revIDLastSave="0" documentId="13_ncr:1_{9AA804CF-A4ED-4C6E-B8AB-D54A1B65A9A4}" xr6:coauthVersionLast="47" xr6:coauthVersionMax="47" xr10:uidLastSave="{00000000-0000-0000-0000-000000000000}"/>
  <bookViews>
    <workbookView xWindow="-120" yWindow="-120" windowWidth="29040" windowHeight="15840" tabRatio="893" xr2:uid="{00000000-000D-0000-FFFF-FFFF00000000}"/>
  </bookViews>
  <sheets>
    <sheet name="メニューＭＡＰ＆操作手順" sheetId="94" r:id="rId1"/>
    <sheet name="1-1.従業員データ給与改定案入力画面" sheetId="100" r:id="rId2"/>
    <sheet name="2-2.保険料・地方税等入力画面" sheetId="17" r:id="rId3"/>
    <sheet name="４-0.設定 仕様概要" sheetId="95" r:id="rId4"/>
    <sheet name="4-1.労働時間延長メニューメイン-1" sheetId="101" r:id="rId5"/>
    <sheet name="4-2.労働時間延長メニューお知らせ" sheetId="110" r:id="rId6"/>
    <sheet name="3-1.標準報酬月額・保険料表" sheetId="3" r:id="rId7"/>
    <sheet name="3-2.所得算出参照表" sheetId="30" r:id="rId8"/>
    <sheet name="3-3.国民健康保険料簡易計算" sheetId="80" r:id="rId9"/>
    <sheet name="５.使用上の注意" sheetId="20" r:id="rId10"/>
  </sheets>
  <definedNames>
    <definedName name="_xlnm.Print_Area" localSheetId="1">'1-1.従業員データ給与改定案入力画面'!$A$2:$AL$37</definedName>
    <definedName name="_xlnm.Print_Area" localSheetId="2">'2-2.保険料・地方税等入力画面'!$C$2:$Q$56</definedName>
    <definedName name="_xlnm.Print_Area" localSheetId="4">'4-1.労働時間延長メニューメイン-1'!$A$1:$AU$44</definedName>
    <definedName name="_xlnm.Print_Area" localSheetId="5">'4-2.労働時間延長メニューお知らせ'!$B$3:$R$27</definedName>
    <definedName name="_xlnm.Print_Area" localSheetId="9">'５.使用上の注意'!$B$3:$J$25</definedName>
    <definedName name="_xlnm.Print_Area" localSheetId="0">'メニューＭＡＰ＆操作手順'!$B$1:$AD$192</definedName>
    <definedName name="_xlnm.Print_Titles" localSheetId="1">'1-1.従業員データ給与改定案入力画面'!$C:$C,'1-1.従業員データ給与改定案入力画面'!$8:$9</definedName>
    <definedName name="_xlnm.Print_Titles" localSheetId="4">'4-1.労働時間延長メニューメイン-1'!$C:$C,'4-1.労働時間延長メニューメイン-1'!$14:$14</definedName>
    <definedName name="_xlnm.Print_Titles" localSheetId="5">'4-2.労働時間延長メニューお知らせ'!$B:$B,'4-2.労働時間延長メニューお知らせ'!$9:$9</definedName>
  </definedNames>
  <calcPr calcId="191029"/>
</workbook>
</file>

<file path=xl/calcChain.xml><?xml version="1.0" encoding="utf-8"?>
<calcChain xmlns="http://schemas.openxmlformats.org/spreadsheetml/2006/main">
  <c r="I2" i="3" l="1"/>
  <c r="AF10" i="100" l="1"/>
  <c r="AG10" i="100"/>
  <c r="J2" i="101"/>
  <c r="I7" i="17"/>
  <c r="D12" i="101"/>
  <c r="F11" i="110" l="1"/>
  <c r="O9" i="101" l="1"/>
  <c r="U13" i="101" l="1"/>
  <c r="Q13" i="101"/>
  <c r="U18" i="110"/>
  <c r="D5" i="110" l="1"/>
  <c r="D2" i="80" l="1"/>
  <c r="AM8" i="101" l="1"/>
  <c r="S13" i="101"/>
  <c r="A16" i="100"/>
  <c r="AL10" i="100"/>
  <c r="C13" i="101"/>
  <c r="I43" i="17"/>
  <c r="I42" i="17"/>
  <c r="I41" i="17"/>
  <c r="S11" i="100"/>
  <c r="S10" i="100"/>
  <c r="S109" i="100"/>
  <c r="S108" i="100"/>
  <c r="S107" i="100"/>
  <c r="S106" i="100"/>
  <c r="S105" i="100"/>
  <c r="S104" i="100"/>
  <c r="S103" i="100"/>
  <c r="S102" i="100"/>
  <c r="S101" i="100"/>
  <c r="S100" i="100"/>
  <c r="S99" i="100"/>
  <c r="S98" i="100"/>
  <c r="S97" i="100"/>
  <c r="S96" i="100"/>
  <c r="S95" i="100"/>
  <c r="S94" i="100"/>
  <c r="S93" i="100"/>
  <c r="S92" i="100"/>
  <c r="S91" i="100"/>
  <c r="S90" i="100"/>
  <c r="S89" i="100"/>
  <c r="S88" i="100"/>
  <c r="S87" i="100"/>
  <c r="S86" i="100"/>
  <c r="S85" i="100"/>
  <c r="S84" i="100"/>
  <c r="S83" i="100"/>
  <c r="S82" i="100"/>
  <c r="S81" i="100"/>
  <c r="S80" i="100"/>
  <c r="S79" i="100"/>
  <c r="S78" i="100"/>
  <c r="S77" i="100"/>
  <c r="S76" i="100"/>
  <c r="S75" i="100"/>
  <c r="S74" i="100"/>
  <c r="S73" i="100"/>
  <c r="S72" i="100"/>
  <c r="S71" i="100"/>
  <c r="S70" i="100"/>
  <c r="S69" i="100"/>
  <c r="S68" i="100"/>
  <c r="S67" i="100"/>
  <c r="S66" i="100"/>
  <c r="S65" i="100"/>
  <c r="S64" i="100"/>
  <c r="S63" i="100"/>
  <c r="S62" i="100"/>
  <c r="S61" i="100"/>
  <c r="S60" i="100"/>
  <c r="S59" i="100"/>
  <c r="S58" i="100"/>
  <c r="S57" i="100"/>
  <c r="S56" i="100"/>
  <c r="S55" i="100"/>
  <c r="S54" i="100"/>
  <c r="S53" i="100"/>
  <c r="S52" i="100"/>
  <c r="S51" i="100"/>
  <c r="S50" i="100"/>
  <c r="S49" i="100"/>
  <c r="S48" i="100"/>
  <c r="S47" i="100"/>
  <c r="S46" i="100"/>
  <c r="S45" i="100"/>
  <c r="S44" i="100"/>
  <c r="S43" i="100"/>
  <c r="S42" i="100"/>
  <c r="S41" i="100"/>
  <c r="S40" i="100"/>
  <c r="S39" i="100"/>
  <c r="S38" i="100"/>
  <c r="S37" i="100"/>
  <c r="S36" i="100"/>
  <c r="S35" i="100"/>
  <c r="S34" i="100"/>
  <c r="S33" i="100"/>
  <c r="S32" i="100"/>
  <c r="S31" i="100"/>
  <c r="S30" i="100"/>
  <c r="S29" i="100"/>
  <c r="S28" i="100"/>
  <c r="S27" i="100"/>
  <c r="S26" i="100"/>
  <c r="S25" i="100"/>
  <c r="S24" i="100"/>
  <c r="S23" i="100"/>
  <c r="S22" i="100"/>
  <c r="S21" i="100"/>
  <c r="S20" i="100"/>
  <c r="S19" i="100"/>
  <c r="S18" i="100"/>
  <c r="S17" i="100"/>
  <c r="S16" i="100"/>
  <c r="S15" i="100"/>
  <c r="S14" i="100"/>
  <c r="S13" i="100"/>
  <c r="S12" i="100"/>
  <c r="O10" i="100"/>
  <c r="O11" i="100"/>
  <c r="O16" i="100"/>
  <c r="P16" i="100" s="1"/>
  <c r="O15" i="100"/>
  <c r="P15" i="100" s="1"/>
  <c r="O14" i="100"/>
  <c r="P14" i="100" s="1"/>
  <c r="O13" i="100"/>
  <c r="P13" i="100" s="1"/>
  <c r="O12" i="100"/>
  <c r="P12" i="100" s="1"/>
  <c r="P11" i="100"/>
  <c r="P10" i="100"/>
  <c r="T10" i="100" s="1"/>
  <c r="O109" i="100"/>
  <c r="P109" i="100" s="1"/>
  <c r="O108" i="100"/>
  <c r="P108" i="100" s="1"/>
  <c r="O107" i="100"/>
  <c r="P107" i="100" s="1"/>
  <c r="O106" i="100"/>
  <c r="P106" i="100" s="1"/>
  <c r="O105" i="100"/>
  <c r="P105" i="100" s="1"/>
  <c r="O104" i="100"/>
  <c r="P104" i="100" s="1"/>
  <c r="O103" i="100"/>
  <c r="P103" i="100" s="1"/>
  <c r="O102" i="100"/>
  <c r="P102" i="100" s="1"/>
  <c r="O101" i="100"/>
  <c r="P101" i="100" s="1"/>
  <c r="O100" i="100"/>
  <c r="P100" i="100" s="1"/>
  <c r="O99" i="100"/>
  <c r="P99" i="100" s="1"/>
  <c r="O98" i="100"/>
  <c r="P98" i="100" s="1"/>
  <c r="O97" i="100"/>
  <c r="P97" i="100" s="1"/>
  <c r="O96" i="100"/>
  <c r="P96" i="100" s="1"/>
  <c r="O95" i="100"/>
  <c r="P95" i="100" s="1"/>
  <c r="O94" i="100"/>
  <c r="P94" i="100" s="1"/>
  <c r="O93" i="100"/>
  <c r="P93" i="100" s="1"/>
  <c r="O92" i="100"/>
  <c r="P92" i="100" s="1"/>
  <c r="O91" i="100"/>
  <c r="P91" i="100" s="1"/>
  <c r="O90" i="100"/>
  <c r="P90" i="100" s="1"/>
  <c r="O89" i="100"/>
  <c r="P89" i="100" s="1"/>
  <c r="O88" i="100"/>
  <c r="P88" i="100" s="1"/>
  <c r="O87" i="100"/>
  <c r="P87" i="100" s="1"/>
  <c r="O86" i="100"/>
  <c r="P86" i="100" s="1"/>
  <c r="O85" i="100"/>
  <c r="P85" i="100" s="1"/>
  <c r="O84" i="100"/>
  <c r="P84" i="100" s="1"/>
  <c r="O83" i="100"/>
  <c r="P83" i="100" s="1"/>
  <c r="O82" i="100"/>
  <c r="P82" i="100" s="1"/>
  <c r="O81" i="100"/>
  <c r="P81" i="100" s="1"/>
  <c r="O80" i="100"/>
  <c r="P80" i="100" s="1"/>
  <c r="O79" i="100"/>
  <c r="P79" i="100" s="1"/>
  <c r="O78" i="100"/>
  <c r="P78" i="100" s="1"/>
  <c r="O77" i="100"/>
  <c r="P77" i="100" s="1"/>
  <c r="O76" i="100"/>
  <c r="P76" i="100" s="1"/>
  <c r="O75" i="100"/>
  <c r="P75" i="100" s="1"/>
  <c r="O74" i="100"/>
  <c r="P74" i="100" s="1"/>
  <c r="O73" i="100"/>
  <c r="P73" i="100" s="1"/>
  <c r="O72" i="100"/>
  <c r="P72" i="100" s="1"/>
  <c r="O71" i="100"/>
  <c r="P71" i="100" s="1"/>
  <c r="O70" i="100"/>
  <c r="P70" i="100" s="1"/>
  <c r="O69" i="100"/>
  <c r="P69" i="100" s="1"/>
  <c r="O68" i="100"/>
  <c r="P68" i="100" s="1"/>
  <c r="O67" i="100"/>
  <c r="P67" i="100" s="1"/>
  <c r="O66" i="100"/>
  <c r="P66" i="100" s="1"/>
  <c r="O65" i="100"/>
  <c r="P65" i="100" s="1"/>
  <c r="O64" i="100"/>
  <c r="P64" i="100" s="1"/>
  <c r="O63" i="100"/>
  <c r="P63" i="100" s="1"/>
  <c r="O62" i="100"/>
  <c r="P62" i="100" s="1"/>
  <c r="O61" i="100"/>
  <c r="P61" i="100" s="1"/>
  <c r="O60" i="100"/>
  <c r="P60" i="100" s="1"/>
  <c r="O59" i="100"/>
  <c r="P59" i="100" s="1"/>
  <c r="O58" i="100"/>
  <c r="P58" i="100" s="1"/>
  <c r="O57" i="100"/>
  <c r="P57" i="100" s="1"/>
  <c r="O56" i="100"/>
  <c r="P56" i="100" s="1"/>
  <c r="O55" i="100"/>
  <c r="P55" i="100" s="1"/>
  <c r="O54" i="100"/>
  <c r="P54" i="100" s="1"/>
  <c r="O53" i="100"/>
  <c r="P53" i="100" s="1"/>
  <c r="O52" i="100"/>
  <c r="P52" i="100" s="1"/>
  <c r="O51" i="100"/>
  <c r="P51" i="100" s="1"/>
  <c r="O50" i="100"/>
  <c r="P50" i="100" s="1"/>
  <c r="O49" i="100"/>
  <c r="P49" i="100" s="1"/>
  <c r="P48" i="100"/>
  <c r="O48" i="100"/>
  <c r="O47" i="100"/>
  <c r="P47" i="100" s="1"/>
  <c r="O46" i="100"/>
  <c r="P46" i="100" s="1"/>
  <c r="O45" i="100"/>
  <c r="P45" i="100" s="1"/>
  <c r="O44" i="100"/>
  <c r="P44" i="100" s="1"/>
  <c r="O43" i="100"/>
  <c r="P43" i="100" s="1"/>
  <c r="O42" i="100"/>
  <c r="P42" i="100" s="1"/>
  <c r="O41" i="100"/>
  <c r="P41" i="100" s="1"/>
  <c r="O40" i="100"/>
  <c r="P40" i="100" s="1"/>
  <c r="O39" i="100"/>
  <c r="P39" i="100" s="1"/>
  <c r="O38" i="100"/>
  <c r="P38" i="100" s="1"/>
  <c r="O37" i="100"/>
  <c r="P37" i="100" s="1"/>
  <c r="O36" i="100"/>
  <c r="P36" i="100" s="1"/>
  <c r="O35" i="100"/>
  <c r="P35" i="100" s="1"/>
  <c r="O34" i="100"/>
  <c r="P34" i="100" s="1"/>
  <c r="O33" i="100"/>
  <c r="P33" i="100" s="1"/>
  <c r="O32" i="100"/>
  <c r="P32" i="100" s="1"/>
  <c r="O31" i="100"/>
  <c r="P31" i="100" s="1"/>
  <c r="O30" i="100"/>
  <c r="P30" i="100" s="1"/>
  <c r="O29" i="100"/>
  <c r="P29" i="100" s="1"/>
  <c r="O28" i="100"/>
  <c r="P28" i="100" s="1"/>
  <c r="O27" i="100"/>
  <c r="P27" i="100" s="1"/>
  <c r="O26" i="100"/>
  <c r="P26" i="100" s="1"/>
  <c r="O25" i="100"/>
  <c r="P25" i="100" s="1"/>
  <c r="O24" i="100"/>
  <c r="P24" i="100" s="1"/>
  <c r="O23" i="100"/>
  <c r="P23" i="100" s="1"/>
  <c r="O22" i="100"/>
  <c r="P22" i="100" s="1"/>
  <c r="O21" i="100"/>
  <c r="P21" i="100" s="1"/>
  <c r="O20" i="100"/>
  <c r="P20" i="100" s="1"/>
  <c r="O19" i="100"/>
  <c r="P19" i="100" s="1"/>
  <c r="O18" i="100"/>
  <c r="P18" i="100" s="1"/>
  <c r="O17" i="100"/>
  <c r="P17" i="100" s="1"/>
  <c r="F7" i="110" l="1"/>
  <c r="C6" i="101"/>
  <c r="D11" i="101"/>
  <c r="D6" i="80" s="1"/>
  <c r="D9" i="101"/>
  <c r="D8" i="101"/>
  <c r="D7" i="110" s="1"/>
  <c r="D7" i="101"/>
  <c r="T14" i="100"/>
  <c r="U14" i="100" s="1"/>
  <c r="T13" i="100"/>
  <c r="U13" i="100" s="1"/>
  <c r="T12" i="100"/>
  <c r="U12" i="100" s="1"/>
  <c r="T11" i="100"/>
  <c r="U11" i="100" s="1"/>
  <c r="AG11" i="100" s="1"/>
  <c r="AN13" i="101"/>
  <c r="AN21" i="101" s="1"/>
  <c r="AF13" i="101"/>
  <c r="AF41" i="101" s="1"/>
  <c r="Y13" i="101"/>
  <c r="X13" i="101"/>
  <c r="R13" i="101"/>
  <c r="AB11" i="101"/>
  <c r="O11" i="101"/>
  <c r="W13" i="101" s="1"/>
  <c r="O10" i="101"/>
  <c r="V13" i="101" s="1"/>
  <c r="AR10" i="101"/>
  <c r="AB7" i="101"/>
  <c r="AB13" i="101" s="1"/>
  <c r="AB6" i="101"/>
  <c r="AA6" i="101"/>
  <c r="AA7" i="101" s="1"/>
  <c r="Y6" i="101"/>
  <c r="Y7" i="101" s="1"/>
  <c r="X6" i="101"/>
  <c r="X7" i="101" s="1"/>
  <c r="AL109" i="100"/>
  <c r="AI109" i="100"/>
  <c r="AH109" i="100"/>
  <c r="AG109" i="100"/>
  <c r="AF109" i="100"/>
  <c r="U109" i="100"/>
  <c r="T109" i="100"/>
  <c r="L109" i="100"/>
  <c r="K109" i="100"/>
  <c r="J109" i="100"/>
  <c r="I109" i="100"/>
  <c r="A109" i="100"/>
  <c r="AL108" i="100"/>
  <c r="AI108" i="100"/>
  <c r="AH108" i="100"/>
  <c r="AG108" i="100"/>
  <c r="AF108" i="100"/>
  <c r="U108" i="100"/>
  <c r="T108" i="100"/>
  <c r="L108" i="100"/>
  <c r="K108" i="100"/>
  <c r="J108" i="100"/>
  <c r="I108" i="100"/>
  <c r="A108" i="100"/>
  <c r="AL107" i="100"/>
  <c r="AI107" i="100"/>
  <c r="AH107" i="100"/>
  <c r="AG107" i="100"/>
  <c r="AF107" i="100"/>
  <c r="U107" i="100"/>
  <c r="T107" i="100"/>
  <c r="L107" i="100"/>
  <c r="K107" i="100"/>
  <c r="J107" i="100"/>
  <c r="I107" i="100"/>
  <c r="A107" i="100"/>
  <c r="AL106" i="100"/>
  <c r="AI106" i="100"/>
  <c r="AH106" i="100"/>
  <c r="AG106" i="100"/>
  <c r="AF106" i="100"/>
  <c r="U106" i="100"/>
  <c r="T106" i="100"/>
  <c r="L106" i="100"/>
  <c r="K106" i="100"/>
  <c r="J106" i="100"/>
  <c r="I106" i="100"/>
  <c r="A106" i="100"/>
  <c r="AL105" i="100"/>
  <c r="AI105" i="100"/>
  <c r="AH105" i="100"/>
  <c r="AG105" i="100"/>
  <c r="AF105" i="100"/>
  <c r="U105" i="100"/>
  <c r="T105" i="100"/>
  <c r="L105" i="100"/>
  <c r="K105" i="100"/>
  <c r="J105" i="100"/>
  <c r="I105" i="100"/>
  <c r="A105" i="100"/>
  <c r="AL104" i="100"/>
  <c r="AI104" i="100"/>
  <c r="AH104" i="100"/>
  <c r="AG104" i="100"/>
  <c r="AF104" i="100"/>
  <c r="U104" i="100"/>
  <c r="T104" i="100"/>
  <c r="L104" i="100"/>
  <c r="K104" i="100"/>
  <c r="J104" i="100"/>
  <c r="I104" i="100"/>
  <c r="A104" i="100"/>
  <c r="AL103" i="100"/>
  <c r="AI103" i="100"/>
  <c r="AH103" i="100"/>
  <c r="AG103" i="100"/>
  <c r="AF103" i="100"/>
  <c r="U103" i="100"/>
  <c r="T103" i="100"/>
  <c r="L103" i="100"/>
  <c r="K103" i="100"/>
  <c r="J103" i="100"/>
  <c r="I103" i="100"/>
  <c r="A103" i="100"/>
  <c r="AL102" i="100"/>
  <c r="AI102" i="100"/>
  <c r="AH102" i="100"/>
  <c r="AG102" i="100"/>
  <c r="AF102" i="100"/>
  <c r="U102" i="100"/>
  <c r="T102" i="100"/>
  <c r="L102" i="100"/>
  <c r="K102" i="100"/>
  <c r="J102" i="100"/>
  <c r="I102" i="100"/>
  <c r="A102" i="100"/>
  <c r="AL101" i="100"/>
  <c r="AI101" i="100"/>
  <c r="AH101" i="100"/>
  <c r="AG101" i="100"/>
  <c r="AF101" i="100"/>
  <c r="U101" i="100"/>
  <c r="T101" i="100"/>
  <c r="L101" i="100"/>
  <c r="K101" i="100"/>
  <c r="J101" i="100"/>
  <c r="I101" i="100"/>
  <c r="A101" i="100"/>
  <c r="AL100" i="100"/>
  <c r="AI100" i="100"/>
  <c r="AH100" i="100"/>
  <c r="AG100" i="100"/>
  <c r="AF100" i="100"/>
  <c r="U100" i="100"/>
  <c r="T100" i="100"/>
  <c r="L100" i="100"/>
  <c r="K100" i="100"/>
  <c r="J100" i="100"/>
  <c r="I100" i="100"/>
  <c r="A100" i="100"/>
  <c r="AL99" i="100"/>
  <c r="AI99" i="100"/>
  <c r="AH99" i="100"/>
  <c r="AG99" i="100"/>
  <c r="AF99" i="100"/>
  <c r="U99" i="100"/>
  <c r="T99" i="100"/>
  <c r="L99" i="100"/>
  <c r="K99" i="100"/>
  <c r="J99" i="100"/>
  <c r="I99" i="100"/>
  <c r="A99" i="100"/>
  <c r="AL98" i="100"/>
  <c r="AI98" i="100"/>
  <c r="AH98" i="100"/>
  <c r="AG98" i="100"/>
  <c r="AF98" i="100"/>
  <c r="U98" i="100"/>
  <c r="T98" i="100"/>
  <c r="L98" i="100"/>
  <c r="K98" i="100"/>
  <c r="J98" i="100"/>
  <c r="I98" i="100"/>
  <c r="A98" i="100"/>
  <c r="AL97" i="100"/>
  <c r="AI97" i="100"/>
  <c r="AH97" i="100"/>
  <c r="AG97" i="100"/>
  <c r="AF97" i="100"/>
  <c r="U97" i="100"/>
  <c r="T97" i="100"/>
  <c r="L97" i="100"/>
  <c r="K97" i="100"/>
  <c r="J97" i="100"/>
  <c r="I97" i="100"/>
  <c r="A97" i="100"/>
  <c r="AL96" i="100"/>
  <c r="AI96" i="100"/>
  <c r="AH96" i="100"/>
  <c r="AG96" i="100"/>
  <c r="AF96" i="100"/>
  <c r="U96" i="100"/>
  <c r="T96" i="100"/>
  <c r="L96" i="100"/>
  <c r="K96" i="100"/>
  <c r="J96" i="100"/>
  <c r="I96" i="100"/>
  <c r="A96" i="100"/>
  <c r="AL95" i="100"/>
  <c r="AI95" i="100"/>
  <c r="AH95" i="100"/>
  <c r="AG95" i="100"/>
  <c r="AF95" i="100"/>
  <c r="U95" i="100"/>
  <c r="T95" i="100"/>
  <c r="L95" i="100"/>
  <c r="K95" i="100"/>
  <c r="J95" i="100"/>
  <c r="I95" i="100"/>
  <c r="A95" i="100"/>
  <c r="AL94" i="100"/>
  <c r="AI94" i="100"/>
  <c r="AH94" i="100"/>
  <c r="AG94" i="100"/>
  <c r="AF94" i="100"/>
  <c r="U94" i="100"/>
  <c r="T94" i="100"/>
  <c r="L94" i="100"/>
  <c r="K94" i="100"/>
  <c r="J94" i="100"/>
  <c r="I94" i="100"/>
  <c r="A94" i="100"/>
  <c r="AL93" i="100"/>
  <c r="AI93" i="100"/>
  <c r="AH93" i="100"/>
  <c r="AG93" i="100"/>
  <c r="AF93" i="100"/>
  <c r="U93" i="100"/>
  <c r="T93" i="100"/>
  <c r="L93" i="100"/>
  <c r="K93" i="100"/>
  <c r="J93" i="100"/>
  <c r="I93" i="100"/>
  <c r="A93" i="100"/>
  <c r="AL92" i="100"/>
  <c r="AI92" i="100"/>
  <c r="AH92" i="100"/>
  <c r="AG92" i="100"/>
  <c r="AF92" i="100"/>
  <c r="U92" i="100"/>
  <c r="T92" i="100"/>
  <c r="L92" i="100"/>
  <c r="K92" i="100"/>
  <c r="J92" i="100"/>
  <c r="I92" i="100"/>
  <c r="A92" i="100"/>
  <c r="AL91" i="100"/>
  <c r="AI91" i="100"/>
  <c r="AH91" i="100"/>
  <c r="AG91" i="100"/>
  <c r="AF91" i="100"/>
  <c r="U91" i="100"/>
  <c r="T91" i="100"/>
  <c r="L91" i="100"/>
  <c r="K91" i="100"/>
  <c r="J91" i="100"/>
  <c r="I91" i="100"/>
  <c r="A91" i="100"/>
  <c r="AL90" i="100"/>
  <c r="AI90" i="100"/>
  <c r="AH90" i="100"/>
  <c r="AG90" i="100"/>
  <c r="AF90" i="100"/>
  <c r="U90" i="100"/>
  <c r="T90" i="100"/>
  <c r="L90" i="100"/>
  <c r="K90" i="100"/>
  <c r="J90" i="100"/>
  <c r="I90" i="100"/>
  <c r="A90" i="100"/>
  <c r="AL89" i="100"/>
  <c r="AI89" i="100"/>
  <c r="AH89" i="100"/>
  <c r="AG89" i="100"/>
  <c r="AF89" i="100"/>
  <c r="U89" i="100"/>
  <c r="T89" i="100"/>
  <c r="L89" i="100"/>
  <c r="K89" i="100"/>
  <c r="J89" i="100"/>
  <c r="I89" i="100"/>
  <c r="A89" i="100"/>
  <c r="AL88" i="100"/>
  <c r="AI88" i="100"/>
  <c r="AH88" i="100"/>
  <c r="AG88" i="100"/>
  <c r="AF88" i="100"/>
  <c r="U88" i="100"/>
  <c r="T88" i="100"/>
  <c r="L88" i="100"/>
  <c r="K88" i="100"/>
  <c r="J88" i="100"/>
  <c r="I88" i="100"/>
  <c r="A88" i="100"/>
  <c r="AL87" i="100"/>
  <c r="AI87" i="100"/>
  <c r="AH87" i="100"/>
  <c r="AG87" i="100"/>
  <c r="AF87" i="100"/>
  <c r="U87" i="100"/>
  <c r="T87" i="100"/>
  <c r="L87" i="100"/>
  <c r="K87" i="100"/>
  <c r="J87" i="100"/>
  <c r="I87" i="100"/>
  <c r="A87" i="100"/>
  <c r="AL86" i="100"/>
  <c r="AI86" i="100"/>
  <c r="AH86" i="100"/>
  <c r="AG86" i="100"/>
  <c r="AF86" i="100"/>
  <c r="U86" i="100"/>
  <c r="T86" i="100"/>
  <c r="L86" i="100"/>
  <c r="K86" i="100"/>
  <c r="J86" i="100"/>
  <c r="I86" i="100"/>
  <c r="A86" i="100"/>
  <c r="AL85" i="100"/>
  <c r="AI85" i="100"/>
  <c r="AH85" i="100"/>
  <c r="AG85" i="100"/>
  <c r="AF85" i="100"/>
  <c r="U85" i="100"/>
  <c r="T85" i="100"/>
  <c r="L85" i="100"/>
  <c r="K85" i="100"/>
  <c r="J85" i="100"/>
  <c r="I85" i="100"/>
  <c r="A85" i="100"/>
  <c r="AL84" i="100"/>
  <c r="AI84" i="100"/>
  <c r="AH84" i="100"/>
  <c r="AG84" i="100"/>
  <c r="AF84" i="100"/>
  <c r="U84" i="100"/>
  <c r="T84" i="100"/>
  <c r="L84" i="100"/>
  <c r="K84" i="100"/>
  <c r="J84" i="100"/>
  <c r="I84" i="100"/>
  <c r="A84" i="100"/>
  <c r="AL83" i="100"/>
  <c r="AI83" i="100"/>
  <c r="AH83" i="100"/>
  <c r="AG83" i="100"/>
  <c r="AF83" i="100"/>
  <c r="U83" i="100"/>
  <c r="T83" i="100"/>
  <c r="L83" i="100"/>
  <c r="K83" i="100"/>
  <c r="J83" i="100"/>
  <c r="I83" i="100"/>
  <c r="A83" i="100"/>
  <c r="AL82" i="100"/>
  <c r="AI82" i="100"/>
  <c r="AH82" i="100"/>
  <c r="AG82" i="100"/>
  <c r="AF82" i="100"/>
  <c r="U82" i="100"/>
  <c r="T82" i="100"/>
  <c r="L82" i="100"/>
  <c r="K82" i="100"/>
  <c r="J82" i="100"/>
  <c r="I82" i="100"/>
  <c r="A82" i="100"/>
  <c r="AL81" i="100"/>
  <c r="AI81" i="100"/>
  <c r="AH81" i="100"/>
  <c r="AG81" i="100"/>
  <c r="AF81" i="100"/>
  <c r="U81" i="100"/>
  <c r="T81" i="100"/>
  <c r="L81" i="100"/>
  <c r="K81" i="100"/>
  <c r="J81" i="100"/>
  <c r="I81" i="100"/>
  <c r="A81" i="100"/>
  <c r="AL80" i="100"/>
  <c r="AI80" i="100"/>
  <c r="AH80" i="100"/>
  <c r="AG80" i="100"/>
  <c r="AF80" i="100"/>
  <c r="U80" i="100"/>
  <c r="T80" i="100"/>
  <c r="L80" i="100"/>
  <c r="K80" i="100"/>
  <c r="J80" i="100"/>
  <c r="I80" i="100"/>
  <c r="A80" i="100"/>
  <c r="AL79" i="100"/>
  <c r="AI79" i="100"/>
  <c r="AH79" i="100"/>
  <c r="AG79" i="100"/>
  <c r="AF79" i="100"/>
  <c r="U79" i="100"/>
  <c r="T79" i="100"/>
  <c r="L79" i="100"/>
  <c r="K79" i="100"/>
  <c r="J79" i="100"/>
  <c r="I79" i="100"/>
  <c r="A79" i="100"/>
  <c r="AL78" i="100"/>
  <c r="AI78" i="100"/>
  <c r="AH78" i="100"/>
  <c r="AG78" i="100"/>
  <c r="AF78" i="100"/>
  <c r="U78" i="100"/>
  <c r="T78" i="100"/>
  <c r="L78" i="100"/>
  <c r="K78" i="100"/>
  <c r="J78" i="100"/>
  <c r="I78" i="100"/>
  <c r="A78" i="100"/>
  <c r="AL77" i="100"/>
  <c r="AI77" i="100"/>
  <c r="AH77" i="100"/>
  <c r="AG77" i="100"/>
  <c r="AF77" i="100"/>
  <c r="U77" i="100"/>
  <c r="T77" i="100"/>
  <c r="L77" i="100"/>
  <c r="K77" i="100"/>
  <c r="J77" i="100"/>
  <c r="I77" i="100"/>
  <c r="A77" i="100"/>
  <c r="AL76" i="100"/>
  <c r="AI76" i="100"/>
  <c r="AH76" i="100"/>
  <c r="AG76" i="100"/>
  <c r="AF76" i="100"/>
  <c r="U76" i="100"/>
  <c r="T76" i="100"/>
  <c r="L76" i="100"/>
  <c r="K76" i="100"/>
  <c r="J76" i="100"/>
  <c r="I76" i="100"/>
  <c r="A76" i="100"/>
  <c r="AL75" i="100"/>
  <c r="AI75" i="100"/>
  <c r="AH75" i="100"/>
  <c r="AG75" i="100"/>
  <c r="AF75" i="100"/>
  <c r="U75" i="100"/>
  <c r="T75" i="100"/>
  <c r="L75" i="100"/>
  <c r="K75" i="100"/>
  <c r="J75" i="100"/>
  <c r="I75" i="100"/>
  <c r="A75" i="100"/>
  <c r="AL74" i="100"/>
  <c r="AI74" i="100"/>
  <c r="AH74" i="100"/>
  <c r="AG74" i="100"/>
  <c r="AF74" i="100"/>
  <c r="U74" i="100"/>
  <c r="T74" i="100"/>
  <c r="L74" i="100"/>
  <c r="K74" i="100"/>
  <c r="J74" i="100"/>
  <c r="I74" i="100"/>
  <c r="A74" i="100"/>
  <c r="AL73" i="100"/>
  <c r="AI73" i="100"/>
  <c r="AH73" i="100"/>
  <c r="AG73" i="100"/>
  <c r="AF73" i="100"/>
  <c r="U73" i="100"/>
  <c r="T73" i="100"/>
  <c r="L73" i="100"/>
  <c r="K73" i="100"/>
  <c r="J73" i="100"/>
  <c r="I73" i="100"/>
  <c r="A73" i="100"/>
  <c r="AL72" i="100"/>
  <c r="AI72" i="100"/>
  <c r="AH72" i="100"/>
  <c r="AG72" i="100"/>
  <c r="AF72" i="100"/>
  <c r="U72" i="100"/>
  <c r="T72" i="100"/>
  <c r="L72" i="100"/>
  <c r="K72" i="100"/>
  <c r="J72" i="100"/>
  <c r="I72" i="100"/>
  <c r="A72" i="100"/>
  <c r="AL71" i="100"/>
  <c r="AI71" i="100"/>
  <c r="AH71" i="100"/>
  <c r="AG71" i="100"/>
  <c r="AF71" i="100"/>
  <c r="U71" i="100"/>
  <c r="T71" i="100"/>
  <c r="L71" i="100"/>
  <c r="K71" i="100"/>
  <c r="J71" i="100"/>
  <c r="I71" i="100"/>
  <c r="A71" i="100"/>
  <c r="AL70" i="100"/>
  <c r="AI70" i="100"/>
  <c r="AH70" i="100"/>
  <c r="AG70" i="100"/>
  <c r="AF70" i="100"/>
  <c r="U70" i="100"/>
  <c r="T70" i="100"/>
  <c r="L70" i="100"/>
  <c r="K70" i="100"/>
  <c r="J70" i="100"/>
  <c r="I70" i="100"/>
  <c r="A70" i="100"/>
  <c r="AL69" i="100"/>
  <c r="AI69" i="100"/>
  <c r="AH69" i="100"/>
  <c r="AG69" i="100"/>
  <c r="AF69" i="100"/>
  <c r="U69" i="100"/>
  <c r="T69" i="100"/>
  <c r="L69" i="100"/>
  <c r="K69" i="100"/>
  <c r="J69" i="100"/>
  <c r="I69" i="100"/>
  <c r="A69" i="100"/>
  <c r="AL68" i="100"/>
  <c r="AI68" i="100"/>
  <c r="AH68" i="100"/>
  <c r="AG68" i="100"/>
  <c r="AF68" i="100"/>
  <c r="U68" i="100"/>
  <c r="T68" i="100"/>
  <c r="L68" i="100"/>
  <c r="K68" i="100"/>
  <c r="J68" i="100"/>
  <c r="I68" i="100"/>
  <c r="A68" i="100"/>
  <c r="AL67" i="100"/>
  <c r="AI67" i="100"/>
  <c r="AH67" i="100"/>
  <c r="AG67" i="100"/>
  <c r="AF67" i="100"/>
  <c r="U67" i="100"/>
  <c r="T67" i="100"/>
  <c r="L67" i="100"/>
  <c r="K67" i="100"/>
  <c r="J67" i="100"/>
  <c r="I67" i="100"/>
  <c r="A67" i="100"/>
  <c r="AL66" i="100"/>
  <c r="AI66" i="100"/>
  <c r="AH66" i="100"/>
  <c r="AG66" i="100"/>
  <c r="AF66" i="100"/>
  <c r="U66" i="100"/>
  <c r="T66" i="100"/>
  <c r="L66" i="100"/>
  <c r="K66" i="100"/>
  <c r="J66" i="100"/>
  <c r="I66" i="100"/>
  <c r="A66" i="100"/>
  <c r="AL65" i="100"/>
  <c r="AI65" i="100"/>
  <c r="AH65" i="100"/>
  <c r="AG65" i="100"/>
  <c r="AF65" i="100"/>
  <c r="U65" i="100"/>
  <c r="T65" i="100"/>
  <c r="L65" i="100"/>
  <c r="K65" i="100"/>
  <c r="J65" i="100"/>
  <c r="I65" i="100"/>
  <c r="A65" i="100"/>
  <c r="AL64" i="100"/>
  <c r="AI64" i="100"/>
  <c r="AH64" i="100"/>
  <c r="AG64" i="100"/>
  <c r="AF64" i="100"/>
  <c r="U64" i="100"/>
  <c r="T64" i="100"/>
  <c r="L64" i="100"/>
  <c r="K64" i="100"/>
  <c r="J64" i="100"/>
  <c r="I64" i="100"/>
  <c r="A64" i="100"/>
  <c r="AL63" i="100"/>
  <c r="AI63" i="100"/>
  <c r="AH63" i="100"/>
  <c r="AG63" i="100"/>
  <c r="AF63" i="100"/>
  <c r="U63" i="100"/>
  <c r="T63" i="100"/>
  <c r="L63" i="100"/>
  <c r="K63" i="100"/>
  <c r="J63" i="100"/>
  <c r="I63" i="100"/>
  <c r="A63" i="100"/>
  <c r="AL62" i="100"/>
  <c r="AI62" i="100"/>
  <c r="AH62" i="100"/>
  <c r="AG62" i="100"/>
  <c r="AF62" i="100"/>
  <c r="U62" i="100"/>
  <c r="T62" i="100"/>
  <c r="L62" i="100"/>
  <c r="K62" i="100"/>
  <c r="J62" i="100"/>
  <c r="I62" i="100"/>
  <c r="A62" i="100"/>
  <c r="AL61" i="100"/>
  <c r="AI61" i="100"/>
  <c r="AH61" i="100"/>
  <c r="AG61" i="100"/>
  <c r="AF61" i="100"/>
  <c r="U61" i="100"/>
  <c r="T61" i="100"/>
  <c r="L61" i="100"/>
  <c r="K61" i="100"/>
  <c r="J61" i="100"/>
  <c r="I61" i="100"/>
  <c r="A61" i="100"/>
  <c r="AL60" i="100"/>
  <c r="AI60" i="100"/>
  <c r="AH60" i="100"/>
  <c r="AG60" i="100"/>
  <c r="AF60" i="100"/>
  <c r="U60" i="100"/>
  <c r="T60" i="100"/>
  <c r="L60" i="100"/>
  <c r="K60" i="100"/>
  <c r="J60" i="100"/>
  <c r="I60" i="100"/>
  <c r="A60" i="100"/>
  <c r="AL59" i="100"/>
  <c r="AI59" i="100"/>
  <c r="AH59" i="100"/>
  <c r="AG59" i="100"/>
  <c r="AF59" i="100"/>
  <c r="U59" i="100"/>
  <c r="T59" i="100"/>
  <c r="L59" i="100"/>
  <c r="K59" i="100"/>
  <c r="J59" i="100"/>
  <c r="I59" i="100"/>
  <c r="A59" i="100"/>
  <c r="AL58" i="100"/>
  <c r="AI58" i="100"/>
  <c r="AH58" i="100"/>
  <c r="AG58" i="100"/>
  <c r="AF58" i="100"/>
  <c r="U58" i="100"/>
  <c r="T58" i="100"/>
  <c r="L58" i="100"/>
  <c r="K58" i="100"/>
  <c r="J58" i="100"/>
  <c r="I58" i="100"/>
  <c r="A58" i="100"/>
  <c r="AL57" i="100"/>
  <c r="AI57" i="100"/>
  <c r="AH57" i="100"/>
  <c r="AG57" i="100"/>
  <c r="AF57" i="100"/>
  <c r="U57" i="100"/>
  <c r="T57" i="100"/>
  <c r="L57" i="100"/>
  <c r="K57" i="100"/>
  <c r="J57" i="100"/>
  <c r="I57" i="100"/>
  <c r="A57" i="100"/>
  <c r="AL56" i="100"/>
  <c r="AI56" i="100"/>
  <c r="AH56" i="100"/>
  <c r="AG56" i="100"/>
  <c r="AF56" i="100"/>
  <c r="U56" i="100"/>
  <c r="T56" i="100"/>
  <c r="L56" i="100"/>
  <c r="K56" i="100"/>
  <c r="J56" i="100"/>
  <c r="I56" i="100"/>
  <c r="A56" i="100"/>
  <c r="AL55" i="100"/>
  <c r="AI55" i="100"/>
  <c r="AH55" i="100"/>
  <c r="AG55" i="100"/>
  <c r="AF55" i="100"/>
  <c r="U55" i="100"/>
  <c r="T55" i="100"/>
  <c r="L55" i="100"/>
  <c r="K55" i="100"/>
  <c r="J55" i="100"/>
  <c r="I55" i="100"/>
  <c r="A55" i="100"/>
  <c r="AL54" i="100"/>
  <c r="AI54" i="100"/>
  <c r="AH54" i="100"/>
  <c r="AG54" i="100"/>
  <c r="AF54" i="100"/>
  <c r="U54" i="100"/>
  <c r="T54" i="100"/>
  <c r="L54" i="100"/>
  <c r="K54" i="100"/>
  <c r="J54" i="100"/>
  <c r="I54" i="100"/>
  <c r="A54" i="100"/>
  <c r="AL53" i="100"/>
  <c r="AI53" i="100"/>
  <c r="AH53" i="100"/>
  <c r="AG53" i="100"/>
  <c r="AF53" i="100"/>
  <c r="U53" i="100"/>
  <c r="T53" i="100"/>
  <c r="L53" i="100"/>
  <c r="K53" i="100"/>
  <c r="J53" i="100"/>
  <c r="I53" i="100"/>
  <c r="A53" i="100"/>
  <c r="AL52" i="100"/>
  <c r="AI52" i="100"/>
  <c r="AH52" i="100"/>
  <c r="AG52" i="100"/>
  <c r="AF52" i="100"/>
  <c r="U52" i="100"/>
  <c r="T52" i="100"/>
  <c r="L52" i="100"/>
  <c r="K52" i="100"/>
  <c r="J52" i="100"/>
  <c r="I52" i="100"/>
  <c r="A52" i="100"/>
  <c r="AL51" i="100"/>
  <c r="AI51" i="100"/>
  <c r="AH51" i="100"/>
  <c r="AG51" i="100"/>
  <c r="AF51" i="100"/>
  <c r="U51" i="100"/>
  <c r="T51" i="100"/>
  <c r="L51" i="100"/>
  <c r="K51" i="100"/>
  <c r="J51" i="100"/>
  <c r="I51" i="100"/>
  <c r="A51" i="100"/>
  <c r="AL50" i="100"/>
  <c r="AI50" i="100"/>
  <c r="AH50" i="100"/>
  <c r="AG50" i="100"/>
  <c r="AF50" i="100"/>
  <c r="U50" i="100"/>
  <c r="T50" i="100"/>
  <c r="L50" i="100"/>
  <c r="K50" i="100"/>
  <c r="J50" i="100"/>
  <c r="I50" i="100"/>
  <c r="A50" i="100"/>
  <c r="AL49" i="100"/>
  <c r="AI49" i="100"/>
  <c r="AH49" i="100"/>
  <c r="AG49" i="100"/>
  <c r="AF49" i="100"/>
  <c r="U49" i="100"/>
  <c r="T49" i="100"/>
  <c r="L49" i="100"/>
  <c r="K49" i="100"/>
  <c r="J49" i="100"/>
  <c r="I49" i="100"/>
  <c r="A49" i="100"/>
  <c r="AL48" i="100"/>
  <c r="AI48" i="100"/>
  <c r="AH48" i="100"/>
  <c r="AG48" i="100"/>
  <c r="AF48" i="100"/>
  <c r="U48" i="100"/>
  <c r="T48" i="100"/>
  <c r="L48" i="100"/>
  <c r="K48" i="100"/>
  <c r="J48" i="100"/>
  <c r="I48" i="100"/>
  <c r="A48" i="100"/>
  <c r="AL47" i="100"/>
  <c r="AI47" i="100"/>
  <c r="AH47" i="100"/>
  <c r="AG47" i="100"/>
  <c r="AF47" i="100"/>
  <c r="U47" i="100"/>
  <c r="T47" i="100"/>
  <c r="L47" i="100"/>
  <c r="K47" i="100"/>
  <c r="J47" i="100"/>
  <c r="I47" i="100"/>
  <c r="A47" i="100"/>
  <c r="AL46" i="100"/>
  <c r="AI46" i="100"/>
  <c r="AH46" i="100"/>
  <c r="AG46" i="100"/>
  <c r="AF46" i="100"/>
  <c r="U46" i="100"/>
  <c r="T46" i="100"/>
  <c r="L46" i="100"/>
  <c r="K46" i="100"/>
  <c r="J46" i="100"/>
  <c r="I46" i="100"/>
  <c r="A46" i="100"/>
  <c r="AL45" i="100"/>
  <c r="AI45" i="100"/>
  <c r="AH45" i="100"/>
  <c r="AG45" i="100"/>
  <c r="AF45" i="100"/>
  <c r="U45" i="100"/>
  <c r="T45" i="100"/>
  <c r="L45" i="100"/>
  <c r="K45" i="100"/>
  <c r="J45" i="100"/>
  <c r="I45" i="100"/>
  <c r="A45" i="100"/>
  <c r="AL44" i="100"/>
  <c r="AI44" i="100"/>
  <c r="AH44" i="100"/>
  <c r="AG44" i="100"/>
  <c r="AF44" i="100"/>
  <c r="U44" i="100"/>
  <c r="T44" i="100"/>
  <c r="L44" i="100"/>
  <c r="K44" i="100"/>
  <c r="J44" i="100"/>
  <c r="I44" i="100"/>
  <c r="A44" i="100"/>
  <c r="AL43" i="100"/>
  <c r="AI43" i="100"/>
  <c r="AH43" i="100"/>
  <c r="AG43" i="100"/>
  <c r="AF43" i="100"/>
  <c r="U43" i="100"/>
  <c r="T43" i="100"/>
  <c r="L43" i="100"/>
  <c r="K43" i="100"/>
  <c r="J43" i="100"/>
  <c r="I43" i="100"/>
  <c r="A43" i="100"/>
  <c r="AL42" i="100"/>
  <c r="AI42" i="100"/>
  <c r="AH42" i="100"/>
  <c r="AG42" i="100"/>
  <c r="AF42" i="100"/>
  <c r="U42" i="100"/>
  <c r="T42" i="100"/>
  <c r="L42" i="100"/>
  <c r="K42" i="100"/>
  <c r="J42" i="100"/>
  <c r="I42" i="100"/>
  <c r="A42" i="100"/>
  <c r="AL41" i="100"/>
  <c r="AI41" i="100"/>
  <c r="AH41" i="100"/>
  <c r="AG41" i="100"/>
  <c r="AF41" i="100"/>
  <c r="U41" i="100"/>
  <c r="T41" i="100"/>
  <c r="L41" i="100"/>
  <c r="K41" i="100"/>
  <c r="J41" i="100"/>
  <c r="I41" i="100"/>
  <c r="A41" i="100"/>
  <c r="AL40" i="100"/>
  <c r="AI40" i="100"/>
  <c r="AH40" i="100"/>
  <c r="AG40" i="100"/>
  <c r="AF40" i="100"/>
  <c r="U40" i="100"/>
  <c r="T40" i="100"/>
  <c r="L40" i="100"/>
  <c r="K40" i="100"/>
  <c r="J40" i="100"/>
  <c r="I40" i="100"/>
  <c r="A40" i="100"/>
  <c r="AL39" i="100"/>
  <c r="AI39" i="100"/>
  <c r="AH39" i="100"/>
  <c r="AG39" i="100"/>
  <c r="AF39" i="100"/>
  <c r="U39" i="100"/>
  <c r="T39" i="100"/>
  <c r="L39" i="100"/>
  <c r="K39" i="100"/>
  <c r="J39" i="100"/>
  <c r="I39" i="100"/>
  <c r="A39" i="100"/>
  <c r="AL38" i="100"/>
  <c r="AI38" i="100"/>
  <c r="AH38" i="100"/>
  <c r="AG38" i="100"/>
  <c r="AF38" i="100"/>
  <c r="U38" i="100"/>
  <c r="T38" i="100"/>
  <c r="L38" i="100"/>
  <c r="K38" i="100"/>
  <c r="J38" i="100"/>
  <c r="I38" i="100"/>
  <c r="A38" i="100"/>
  <c r="AL37" i="100"/>
  <c r="AI37" i="100"/>
  <c r="AH37" i="100"/>
  <c r="AG37" i="100"/>
  <c r="AF37" i="100"/>
  <c r="U37" i="100"/>
  <c r="T37" i="100"/>
  <c r="L37" i="100"/>
  <c r="K37" i="100"/>
  <c r="J37" i="100"/>
  <c r="I37" i="100"/>
  <c r="A37" i="100"/>
  <c r="AL36" i="100"/>
  <c r="AI36" i="100"/>
  <c r="AH36" i="100"/>
  <c r="AG36" i="100"/>
  <c r="AF36" i="100"/>
  <c r="U36" i="100"/>
  <c r="T36" i="100"/>
  <c r="L36" i="100"/>
  <c r="K36" i="100"/>
  <c r="J36" i="100"/>
  <c r="I36" i="100"/>
  <c r="A36" i="100"/>
  <c r="AL35" i="100"/>
  <c r="AI35" i="100"/>
  <c r="AH35" i="100"/>
  <c r="AG35" i="100"/>
  <c r="AF35" i="100"/>
  <c r="U35" i="100"/>
  <c r="T35" i="100"/>
  <c r="L35" i="100"/>
  <c r="K35" i="100"/>
  <c r="J35" i="100"/>
  <c r="I35" i="100"/>
  <c r="A35" i="100"/>
  <c r="AL34" i="100"/>
  <c r="AI34" i="100"/>
  <c r="AH34" i="100"/>
  <c r="AG34" i="100"/>
  <c r="AF34" i="100"/>
  <c r="U34" i="100"/>
  <c r="T34" i="100"/>
  <c r="L34" i="100"/>
  <c r="K34" i="100"/>
  <c r="J34" i="100"/>
  <c r="I34" i="100"/>
  <c r="A34" i="100"/>
  <c r="AL33" i="100"/>
  <c r="AI33" i="100"/>
  <c r="AH33" i="100"/>
  <c r="AG33" i="100"/>
  <c r="AF33" i="100"/>
  <c r="U33" i="100"/>
  <c r="T33" i="100"/>
  <c r="L33" i="100"/>
  <c r="K33" i="100"/>
  <c r="J33" i="100"/>
  <c r="I33" i="100"/>
  <c r="A33" i="100"/>
  <c r="AL32" i="100"/>
  <c r="AI32" i="100"/>
  <c r="AH32" i="100"/>
  <c r="AG32" i="100"/>
  <c r="AF32" i="100"/>
  <c r="U32" i="100"/>
  <c r="T32" i="100"/>
  <c r="L32" i="100"/>
  <c r="K32" i="100"/>
  <c r="J32" i="100"/>
  <c r="I32" i="100"/>
  <c r="A32" i="100"/>
  <c r="AL31" i="100"/>
  <c r="AI31" i="100"/>
  <c r="AH31" i="100"/>
  <c r="AG31" i="100"/>
  <c r="AF31" i="100"/>
  <c r="U31" i="100"/>
  <c r="T31" i="100"/>
  <c r="L31" i="100"/>
  <c r="K31" i="100"/>
  <c r="J31" i="100"/>
  <c r="I31" i="100"/>
  <c r="A31" i="100"/>
  <c r="AL30" i="100"/>
  <c r="AI30" i="100"/>
  <c r="AH30" i="100"/>
  <c r="AG30" i="100"/>
  <c r="AF30" i="100"/>
  <c r="U30" i="100"/>
  <c r="T30" i="100"/>
  <c r="L30" i="100"/>
  <c r="K30" i="100"/>
  <c r="J30" i="100"/>
  <c r="I30" i="100"/>
  <c r="A30" i="100"/>
  <c r="AL29" i="100"/>
  <c r="AI29" i="100"/>
  <c r="AH29" i="100"/>
  <c r="AG29" i="100"/>
  <c r="AF29" i="100"/>
  <c r="U29" i="100"/>
  <c r="T29" i="100"/>
  <c r="L29" i="100"/>
  <c r="K29" i="100"/>
  <c r="J29" i="100"/>
  <c r="I29" i="100"/>
  <c r="A29" i="100"/>
  <c r="AL28" i="100"/>
  <c r="AI28" i="100"/>
  <c r="AH28" i="100"/>
  <c r="AG28" i="100"/>
  <c r="AF28" i="100"/>
  <c r="U28" i="100"/>
  <c r="T28" i="100"/>
  <c r="L28" i="100"/>
  <c r="K28" i="100"/>
  <c r="J28" i="100"/>
  <c r="I28" i="100"/>
  <c r="A28" i="100"/>
  <c r="AL27" i="100"/>
  <c r="AI27" i="100"/>
  <c r="AH27" i="100"/>
  <c r="AG27" i="100"/>
  <c r="AF27" i="100"/>
  <c r="U27" i="100"/>
  <c r="T27" i="100"/>
  <c r="L27" i="100"/>
  <c r="K27" i="100"/>
  <c r="J27" i="100"/>
  <c r="I27" i="100"/>
  <c r="A27" i="100"/>
  <c r="AL26" i="100"/>
  <c r="AI26" i="100"/>
  <c r="AH26" i="100"/>
  <c r="AG26" i="100"/>
  <c r="AF26" i="100"/>
  <c r="U26" i="100"/>
  <c r="T26" i="100"/>
  <c r="L26" i="100"/>
  <c r="K26" i="100"/>
  <c r="J26" i="100"/>
  <c r="I26" i="100"/>
  <c r="A26" i="100"/>
  <c r="AL25" i="100"/>
  <c r="AI25" i="100"/>
  <c r="AH25" i="100"/>
  <c r="AG25" i="100"/>
  <c r="AF25" i="100"/>
  <c r="U25" i="100"/>
  <c r="T25" i="100"/>
  <c r="L25" i="100"/>
  <c r="K25" i="100"/>
  <c r="J25" i="100"/>
  <c r="I25" i="100"/>
  <c r="A25" i="100"/>
  <c r="AL24" i="100"/>
  <c r="AI24" i="100"/>
  <c r="AH24" i="100"/>
  <c r="AG24" i="100"/>
  <c r="AF24" i="100"/>
  <c r="U24" i="100"/>
  <c r="T24" i="100"/>
  <c r="L24" i="100"/>
  <c r="K24" i="100"/>
  <c r="J24" i="100"/>
  <c r="I24" i="100"/>
  <c r="A24" i="100"/>
  <c r="AL23" i="100"/>
  <c r="AI23" i="100"/>
  <c r="AH23" i="100"/>
  <c r="AG23" i="100"/>
  <c r="AF23" i="100"/>
  <c r="U23" i="100"/>
  <c r="T23" i="100"/>
  <c r="L23" i="100"/>
  <c r="K23" i="100"/>
  <c r="J23" i="100"/>
  <c r="I23" i="100"/>
  <c r="A23" i="100"/>
  <c r="AL22" i="100"/>
  <c r="AI22" i="100"/>
  <c r="AH22" i="100"/>
  <c r="AG22" i="100"/>
  <c r="AF22" i="100"/>
  <c r="U22" i="100"/>
  <c r="T22" i="100"/>
  <c r="L22" i="100"/>
  <c r="K22" i="100"/>
  <c r="J22" i="100"/>
  <c r="I22" i="100"/>
  <c r="A22" i="100"/>
  <c r="AL21" i="100"/>
  <c r="AI21" i="100"/>
  <c r="AH21" i="100"/>
  <c r="AG21" i="100"/>
  <c r="AF21" i="100"/>
  <c r="U21" i="100"/>
  <c r="T21" i="100"/>
  <c r="L21" i="100"/>
  <c r="K21" i="100"/>
  <c r="J21" i="100"/>
  <c r="I21" i="100"/>
  <c r="A21" i="100"/>
  <c r="AL20" i="100"/>
  <c r="AI20" i="100"/>
  <c r="AH20" i="100"/>
  <c r="AG20" i="100"/>
  <c r="AF20" i="100"/>
  <c r="U20" i="100"/>
  <c r="T20" i="100"/>
  <c r="L20" i="100"/>
  <c r="K20" i="100"/>
  <c r="J20" i="100"/>
  <c r="I20" i="100"/>
  <c r="A20" i="100"/>
  <c r="AL19" i="100"/>
  <c r="AI19" i="100"/>
  <c r="AH19" i="100"/>
  <c r="AG19" i="100"/>
  <c r="AF19" i="100"/>
  <c r="U19" i="100"/>
  <c r="T19" i="100"/>
  <c r="L19" i="100"/>
  <c r="K19" i="100"/>
  <c r="J19" i="100"/>
  <c r="I19" i="100"/>
  <c r="A19" i="100"/>
  <c r="AL18" i="100"/>
  <c r="AI18" i="100"/>
  <c r="AH18" i="100"/>
  <c r="AG18" i="100"/>
  <c r="AF18" i="100"/>
  <c r="U18" i="100"/>
  <c r="T18" i="100"/>
  <c r="L18" i="100"/>
  <c r="K18" i="100"/>
  <c r="J18" i="100"/>
  <c r="I18" i="100"/>
  <c r="A18" i="100"/>
  <c r="AL17" i="100"/>
  <c r="AI17" i="100"/>
  <c r="AH17" i="100"/>
  <c r="AG17" i="100"/>
  <c r="AF17" i="100"/>
  <c r="U17" i="100"/>
  <c r="T17" i="100"/>
  <c r="L17" i="100"/>
  <c r="K17" i="100"/>
  <c r="J17" i="100"/>
  <c r="I17" i="100"/>
  <c r="A17" i="100"/>
  <c r="AL16" i="100"/>
  <c r="AI16" i="100"/>
  <c r="AH16" i="100"/>
  <c r="AG16" i="100"/>
  <c r="AF16" i="100"/>
  <c r="U16" i="100"/>
  <c r="T16" i="100"/>
  <c r="L16" i="100"/>
  <c r="K16" i="100"/>
  <c r="J16" i="100"/>
  <c r="I16" i="100"/>
  <c r="AL15" i="100"/>
  <c r="AI15" i="100"/>
  <c r="AH15" i="100"/>
  <c r="AG15" i="100"/>
  <c r="AF15" i="100"/>
  <c r="U15" i="100"/>
  <c r="T15" i="100"/>
  <c r="L15" i="100"/>
  <c r="K15" i="100"/>
  <c r="J15" i="100"/>
  <c r="I15" i="100"/>
  <c r="A15" i="100"/>
  <c r="AL14" i="100"/>
  <c r="L14" i="100"/>
  <c r="K14" i="100"/>
  <c r="J14" i="100"/>
  <c r="I14" i="100"/>
  <c r="AL13" i="100"/>
  <c r="L13" i="100"/>
  <c r="K13" i="100"/>
  <c r="J13" i="100"/>
  <c r="I13" i="100"/>
  <c r="AL12" i="100"/>
  <c r="L12" i="100"/>
  <c r="K12" i="100"/>
  <c r="J12" i="100"/>
  <c r="I12" i="100"/>
  <c r="AL11" i="100"/>
  <c r="L11" i="100"/>
  <c r="K11" i="100"/>
  <c r="J11" i="100"/>
  <c r="I11" i="100"/>
  <c r="U10" i="100"/>
  <c r="L10" i="100"/>
  <c r="K10" i="100"/>
  <c r="J10" i="100"/>
  <c r="I10" i="100"/>
  <c r="A10" i="100"/>
  <c r="A11" i="100" s="1"/>
  <c r="A12" i="100" s="1"/>
  <c r="A13" i="100" s="1"/>
  <c r="A14" i="100" s="1"/>
  <c r="D4" i="100"/>
  <c r="G15" i="101" l="1"/>
  <c r="M6" i="101"/>
  <c r="N15" i="101" s="1"/>
  <c r="F6" i="110"/>
  <c r="F5" i="110"/>
  <c r="D6" i="110"/>
  <c r="C4" i="80"/>
  <c r="D10" i="101"/>
  <c r="D5" i="80" s="1"/>
  <c r="AN20" i="101"/>
  <c r="AF21" i="101"/>
  <c r="AF24" i="101"/>
  <c r="AF15" i="101"/>
  <c r="AF25" i="101"/>
  <c r="AN15" i="101"/>
  <c r="AN25" i="101"/>
  <c r="AN16" i="101"/>
  <c r="AN27" i="101"/>
  <c r="AF19" i="101"/>
  <c r="AF29" i="101"/>
  <c r="AN19" i="101"/>
  <c r="AN29" i="101"/>
  <c r="AF16" i="101"/>
  <c r="AN17" i="101"/>
  <c r="AF27" i="101"/>
  <c r="AN28" i="101"/>
  <c r="AO7" i="101"/>
  <c r="AO10" i="101"/>
  <c r="AF43" i="101"/>
  <c r="AF35" i="101"/>
  <c r="AF40" i="101"/>
  <c r="AF37" i="101"/>
  <c r="AF42" i="101"/>
  <c r="AF34" i="101"/>
  <c r="AF39" i="101"/>
  <c r="AF31" i="101"/>
  <c r="AF44" i="101"/>
  <c r="AF36" i="101"/>
  <c r="AF38" i="101"/>
  <c r="AF30" i="101"/>
  <c r="AF26" i="101"/>
  <c r="AF18" i="101"/>
  <c r="AF23" i="101"/>
  <c r="AF33" i="101"/>
  <c r="AF32" i="101"/>
  <c r="AF22" i="101"/>
  <c r="AF17" i="101"/>
  <c r="AF28" i="101"/>
  <c r="AP7" i="101"/>
  <c r="AP10" i="101"/>
  <c r="AN43" i="101"/>
  <c r="AN35" i="101"/>
  <c r="AN40" i="101"/>
  <c r="AN37" i="101"/>
  <c r="AN42" i="101"/>
  <c r="AN34" i="101"/>
  <c r="AN39" i="101"/>
  <c r="AN31" i="101"/>
  <c r="AN44" i="101"/>
  <c r="AN36" i="101"/>
  <c r="AN38" i="101"/>
  <c r="AN30" i="101"/>
  <c r="AN41" i="101"/>
  <c r="AN26" i="101"/>
  <c r="AN18" i="101"/>
  <c r="AN33" i="101"/>
  <c r="AN32" i="101"/>
  <c r="AN23" i="101"/>
  <c r="AN22" i="101"/>
  <c r="AF20" i="101"/>
  <c r="AN24" i="101"/>
  <c r="AQ10" i="101"/>
  <c r="AF11" i="100"/>
  <c r="AH11" i="100"/>
  <c r="AH12" i="100"/>
  <c r="AG12" i="100"/>
  <c r="AF12" i="100"/>
  <c r="AH10" i="100"/>
  <c r="AI10" i="100" s="1"/>
  <c r="AH14" i="100"/>
  <c r="AI14" i="100" s="1"/>
  <c r="AG14" i="100"/>
  <c r="AF14" i="100"/>
  <c r="AH13" i="100"/>
  <c r="AI13" i="100" s="1"/>
  <c r="AG13" i="100"/>
  <c r="AF13" i="100"/>
  <c r="H15" i="101" l="1"/>
  <c r="F16" i="101"/>
  <c r="G16" i="101" s="1"/>
  <c r="F17" i="101" s="1"/>
  <c r="G17" i="101" s="1"/>
  <c r="F18" i="101" s="1"/>
  <c r="G18" i="101" s="1"/>
  <c r="F19" i="101" s="1"/>
  <c r="G19" i="101" s="1"/>
  <c r="F20" i="101" s="1"/>
  <c r="G20" i="101" s="1"/>
  <c r="F21" i="101" s="1"/>
  <c r="G21" i="101" s="1"/>
  <c r="F22" i="101" s="1"/>
  <c r="G22" i="101" s="1"/>
  <c r="F23" i="101" s="1"/>
  <c r="G23" i="101" s="1"/>
  <c r="F24" i="101" s="1"/>
  <c r="G24" i="101" s="1"/>
  <c r="F25" i="101" s="1"/>
  <c r="G25" i="101" s="1"/>
  <c r="F26" i="101" s="1"/>
  <c r="G26" i="101" s="1"/>
  <c r="F27" i="101" s="1"/>
  <c r="G27" i="101" s="1"/>
  <c r="F28" i="101" s="1"/>
  <c r="G28" i="101" s="1"/>
  <c r="F29" i="101" s="1"/>
  <c r="G29" i="101" s="1"/>
  <c r="F30" i="101" s="1"/>
  <c r="G30" i="101" s="1"/>
  <c r="F31" i="101" s="1"/>
  <c r="G31" i="101" s="1"/>
  <c r="F32" i="101" s="1"/>
  <c r="G32" i="101" s="1"/>
  <c r="F33" i="101" s="1"/>
  <c r="G33" i="101" s="1"/>
  <c r="F34" i="101" s="1"/>
  <c r="G34" i="101" s="1"/>
  <c r="F35" i="101" s="1"/>
  <c r="G35" i="101" s="1"/>
  <c r="F36" i="101" s="1"/>
  <c r="G36" i="101" s="1"/>
  <c r="F37" i="101" s="1"/>
  <c r="G37" i="101" s="1"/>
  <c r="F38" i="101" s="1"/>
  <c r="G38" i="101" s="1"/>
  <c r="F39" i="101" s="1"/>
  <c r="G39" i="101" s="1"/>
  <c r="F40" i="101" s="1"/>
  <c r="G40" i="101" s="1"/>
  <c r="F41" i="101" s="1"/>
  <c r="G41" i="101" s="1"/>
  <c r="F42" i="101" s="1"/>
  <c r="G42" i="101" s="1"/>
  <c r="F43" i="101" s="1"/>
  <c r="G43" i="101" s="1"/>
  <c r="F44" i="101" s="1"/>
  <c r="G44" i="101" s="1"/>
  <c r="C15" i="101"/>
  <c r="D15" i="101" s="1"/>
  <c r="G11" i="110"/>
  <c r="N43" i="101"/>
  <c r="O43" i="101" s="1"/>
  <c r="N20" i="101"/>
  <c r="O20" i="101" s="1"/>
  <c r="N34" i="101"/>
  <c r="O34" i="101" s="1"/>
  <c r="N39" i="101"/>
  <c r="O39" i="101" s="1"/>
  <c r="N40" i="101"/>
  <c r="O40" i="101" s="1"/>
  <c r="N30" i="101"/>
  <c r="O30" i="101" s="1"/>
  <c r="O15" i="101"/>
  <c r="N17" i="101"/>
  <c r="O17" i="101" s="1"/>
  <c r="N18" i="101"/>
  <c r="O18" i="101" s="1"/>
  <c r="N32" i="101"/>
  <c r="O32" i="101" s="1"/>
  <c r="N16" i="101"/>
  <c r="O16" i="101" s="1"/>
  <c r="N25" i="101"/>
  <c r="O25" i="101" s="1"/>
  <c r="N35" i="101"/>
  <c r="O35" i="101" s="1"/>
  <c r="N19" i="101"/>
  <c r="O19" i="101" s="1"/>
  <c r="N27" i="101"/>
  <c r="O27" i="101" s="1"/>
  <c r="N28" i="101"/>
  <c r="O28" i="101" s="1"/>
  <c r="N42" i="101"/>
  <c r="O42" i="101" s="1"/>
  <c r="N26" i="101"/>
  <c r="O26" i="101" s="1"/>
  <c r="N41" i="101"/>
  <c r="O41" i="101" s="1"/>
  <c r="N38" i="101"/>
  <c r="O38" i="101" s="1"/>
  <c r="N44" i="101"/>
  <c r="O44" i="101" s="1"/>
  <c r="N33" i="101"/>
  <c r="O33" i="101" s="1"/>
  <c r="N21" i="101"/>
  <c r="O21" i="101" s="1"/>
  <c r="N37" i="101"/>
  <c r="O37" i="101" s="1"/>
  <c r="N22" i="101"/>
  <c r="O22" i="101" s="1"/>
  <c r="N36" i="101"/>
  <c r="O36" i="101" s="1"/>
  <c r="N31" i="101"/>
  <c r="O31" i="101" s="1"/>
  <c r="N24" i="101"/>
  <c r="O24" i="101" s="1"/>
  <c r="N29" i="101"/>
  <c r="O29" i="101" s="1"/>
  <c r="N23" i="101"/>
  <c r="O23" i="101" s="1"/>
  <c r="AI11" i="100"/>
  <c r="L6" i="101"/>
  <c r="J6" i="101"/>
  <c r="AI12" i="100"/>
  <c r="K6" i="101"/>
  <c r="AP13" i="101"/>
  <c r="AQ13" i="101"/>
  <c r="AR13" i="101"/>
  <c r="E15" i="101" l="1"/>
  <c r="I15" i="101" s="1"/>
  <c r="J15" i="101" s="1"/>
  <c r="K15" i="101" s="1"/>
  <c r="C11" i="110"/>
  <c r="F12" i="110"/>
  <c r="C16" i="101"/>
  <c r="D16" i="101" s="1"/>
  <c r="C10" i="80"/>
  <c r="L15" i="101" l="1"/>
  <c r="M15" i="101" s="1"/>
  <c r="P15" i="101"/>
  <c r="H16" i="101"/>
  <c r="G12" i="110"/>
  <c r="D11" i="110"/>
  <c r="C12" i="110"/>
  <c r="F13" i="110"/>
  <c r="S15" i="101" l="1"/>
  <c r="C11" i="80"/>
  <c r="E11" i="110"/>
  <c r="G13" i="110" l="1"/>
  <c r="E16" i="101"/>
  <c r="D12" i="110"/>
  <c r="H11" i="110"/>
  <c r="C17" i="101"/>
  <c r="D17" i="101" s="1"/>
  <c r="H17" i="101"/>
  <c r="C13" i="110" l="1"/>
  <c r="F14" i="110"/>
  <c r="I11" i="110"/>
  <c r="C12" i="80"/>
  <c r="I16" i="101"/>
  <c r="E12" i="110"/>
  <c r="G14" i="110" l="1"/>
  <c r="Y15" i="101"/>
  <c r="V15" i="101"/>
  <c r="U15" i="101"/>
  <c r="J16" i="101"/>
  <c r="P16" i="101"/>
  <c r="L16" i="101"/>
  <c r="M16" i="101" s="1"/>
  <c r="H12" i="110"/>
  <c r="W15" i="101"/>
  <c r="J11" i="110"/>
  <c r="AB15" i="101"/>
  <c r="AP15" i="101"/>
  <c r="D10" i="80"/>
  <c r="AD15" i="101"/>
  <c r="AQ15" i="101"/>
  <c r="E17" i="101"/>
  <c r="D13" i="110"/>
  <c r="C18" i="101"/>
  <c r="D18" i="101" s="1"/>
  <c r="H18" i="101"/>
  <c r="P39" i="80"/>
  <c r="P38" i="80"/>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I55" i="17"/>
  <c r="I54" i="17"/>
  <c r="I53" i="17"/>
  <c r="I52" i="17"/>
  <c r="I51" i="17"/>
  <c r="I50" i="17"/>
  <c r="I49" i="17"/>
  <c r="I48" i="17"/>
  <c r="I47" i="17"/>
  <c r="I46" i="17"/>
  <c r="I45" i="17"/>
  <c r="I44" i="17"/>
  <c r="S16" i="101" l="1"/>
  <c r="X15" i="101"/>
  <c r="P11" i="110"/>
  <c r="Q11" i="110" s="1"/>
  <c r="R11" i="110" s="1"/>
  <c r="E13" i="110"/>
  <c r="I17" i="101"/>
  <c r="AE15" i="101"/>
  <c r="E10" i="80" s="1"/>
  <c r="AM15" i="101"/>
  <c r="I12" i="110"/>
  <c r="K16" i="101"/>
  <c r="F15" i="110"/>
  <c r="C14" i="110"/>
  <c r="C13" i="80"/>
  <c r="M6" i="80"/>
  <c r="F2" i="80"/>
  <c r="P5" i="80"/>
  <c r="I5" i="80"/>
  <c r="J5" i="80"/>
  <c r="O5" i="80"/>
  <c r="P6" i="80"/>
  <c r="J6" i="80"/>
  <c r="K5" i="80"/>
  <c r="J33" i="80" s="1"/>
  <c r="L5" i="80"/>
  <c r="M5" i="80"/>
  <c r="L10" i="80" s="1"/>
  <c r="N5" i="80"/>
  <c r="M23" i="80" s="1"/>
  <c r="P10" i="80"/>
  <c r="C19" i="101" l="1"/>
  <c r="D19" i="101" s="1"/>
  <c r="Y16" i="101"/>
  <c r="U16" i="101"/>
  <c r="W16" i="101"/>
  <c r="V16" i="101"/>
  <c r="J12" i="110"/>
  <c r="AB16" i="101"/>
  <c r="AP16" i="101"/>
  <c r="AD16" i="101"/>
  <c r="D11" i="80"/>
  <c r="AQ16" i="101"/>
  <c r="H13" i="110"/>
  <c r="J17" i="101"/>
  <c r="P17" i="101"/>
  <c r="L17" i="101"/>
  <c r="M17" i="101" s="1"/>
  <c r="G15" i="110"/>
  <c r="H19" i="101"/>
  <c r="E18" i="101"/>
  <c r="D14" i="110"/>
  <c r="C14" i="80"/>
  <c r="I32" i="80"/>
  <c r="I16" i="80"/>
  <c r="I35" i="80"/>
  <c r="I30" i="80"/>
  <c r="I12" i="80"/>
  <c r="I24" i="80"/>
  <c r="L25" i="80"/>
  <c r="I29" i="80"/>
  <c r="M31" i="80"/>
  <c r="L19" i="80"/>
  <c r="M30" i="80"/>
  <c r="L20" i="80"/>
  <c r="L34" i="80"/>
  <c r="J21" i="80"/>
  <c r="M11" i="80"/>
  <c r="L22" i="80"/>
  <c r="M12" i="80"/>
  <c r="J20" i="80"/>
  <c r="J35" i="80"/>
  <c r="M25" i="80"/>
  <c r="J26" i="80"/>
  <c r="M16" i="80"/>
  <c r="J16" i="80"/>
  <c r="M20" i="80"/>
  <c r="L32" i="80"/>
  <c r="M38" i="80"/>
  <c r="M29" i="80"/>
  <c r="I10" i="80"/>
  <c r="J29" i="80"/>
  <c r="M19" i="80"/>
  <c r="I33" i="80"/>
  <c r="L37" i="80"/>
  <c r="J28" i="80"/>
  <c r="M18" i="80"/>
  <c r="M28" i="80"/>
  <c r="M33" i="80"/>
  <c r="J11" i="80"/>
  <c r="J34" i="80"/>
  <c r="M24" i="80"/>
  <c r="J14" i="80"/>
  <c r="I18" i="80"/>
  <c r="I25" i="80"/>
  <c r="M21" i="80"/>
  <c r="J38" i="80"/>
  <c r="I38" i="80"/>
  <c r="L28" i="80"/>
  <c r="M22" i="80"/>
  <c r="I37" i="80"/>
  <c r="L27" i="80"/>
  <c r="L23" i="80"/>
  <c r="I23" i="80"/>
  <c r="I20" i="80"/>
  <c r="L33" i="80"/>
  <c r="I11" i="80"/>
  <c r="L14" i="80"/>
  <c r="M39" i="80"/>
  <c r="J17" i="80"/>
  <c r="J24" i="80"/>
  <c r="J15" i="80"/>
  <c r="J37" i="80"/>
  <c r="M27" i="80"/>
  <c r="I17" i="80"/>
  <c r="J30" i="80"/>
  <c r="J36" i="80"/>
  <c r="M26" i="80"/>
  <c r="L13" i="80"/>
  <c r="J19" i="80"/>
  <c r="J23" i="80"/>
  <c r="M32" i="80"/>
  <c r="L39" i="80"/>
  <c r="M36" i="80"/>
  <c r="I26" i="80"/>
  <c r="L16" i="80"/>
  <c r="L15" i="80"/>
  <c r="I39" i="80"/>
  <c r="L36" i="80"/>
  <c r="I14" i="80"/>
  <c r="J39" i="80"/>
  <c r="L35" i="80"/>
  <c r="I13" i="80"/>
  <c r="M14" i="80"/>
  <c r="I28" i="80"/>
  <c r="L18" i="80"/>
  <c r="I19" i="80"/>
  <c r="L31" i="80"/>
  <c r="I31" i="80"/>
  <c r="J25" i="80"/>
  <c r="M15" i="80"/>
  <c r="L38" i="80"/>
  <c r="M35" i="80"/>
  <c r="J13" i="80"/>
  <c r="J22" i="80"/>
  <c r="M34" i="80"/>
  <c r="J12" i="80"/>
  <c r="M37" i="80"/>
  <c r="J27" i="80"/>
  <c r="M17" i="80"/>
  <c r="M13" i="80"/>
  <c r="J18" i="80"/>
  <c r="L29" i="80"/>
  <c r="I34" i="80"/>
  <c r="L24" i="80"/>
  <c r="L21" i="80"/>
  <c r="J32" i="80"/>
  <c r="I22" i="80"/>
  <c r="L12" i="80"/>
  <c r="J31" i="80"/>
  <c r="I15" i="80"/>
  <c r="I21" i="80"/>
  <c r="L11" i="80"/>
  <c r="L30" i="80"/>
  <c r="I36" i="80"/>
  <c r="L26" i="80"/>
  <c r="I27" i="80"/>
  <c r="L17" i="80"/>
  <c r="M10" i="80"/>
  <c r="J10" i="80"/>
  <c r="K10" i="30"/>
  <c r="K9" i="30"/>
  <c r="K8" i="30"/>
  <c r="K7" i="30"/>
  <c r="K6" i="30"/>
  <c r="S17" i="101" l="1"/>
  <c r="C15" i="110"/>
  <c r="F16" i="110"/>
  <c r="X16" i="101"/>
  <c r="P12" i="110"/>
  <c r="Q12" i="110" s="1"/>
  <c r="R12" i="110" s="1"/>
  <c r="AM16" i="101"/>
  <c r="AE16" i="101"/>
  <c r="E11" i="80" s="1"/>
  <c r="K17" i="101"/>
  <c r="I13" i="110"/>
  <c r="E14" i="110"/>
  <c r="I18" i="101"/>
  <c r="E19" i="101"/>
  <c r="I19" i="101" s="1"/>
  <c r="D15" i="110"/>
  <c r="G16" i="110" l="1"/>
  <c r="C20" i="101"/>
  <c r="D20" i="101" s="1"/>
  <c r="Y17" i="101"/>
  <c r="V17" i="101"/>
  <c r="U17" i="101"/>
  <c r="F17" i="110"/>
  <c r="H20" i="101"/>
  <c r="W17" i="101"/>
  <c r="J13" i="110"/>
  <c r="P13" i="110" s="1"/>
  <c r="Q13" i="110" s="1"/>
  <c r="R13" i="110" s="1"/>
  <c r="AB17" i="101"/>
  <c r="AD17" i="101"/>
  <c r="AQ17" i="101"/>
  <c r="AP17" i="101"/>
  <c r="D12" i="80"/>
  <c r="L18" i="101"/>
  <c r="M18" i="101" s="1"/>
  <c r="P18" i="101"/>
  <c r="J18" i="101"/>
  <c r="K18" i="101" s="1"/>
  <c r="H14" i="110"/>
  <c r="E15" i="110"/>
  <c r="S18" i="101" l="1"/>
  <c r="C15" i="80"/>
  <c r="C16" i="110"/>
  <c r="X17" i="101"/>
  <c r="V18" i="101"/>
  <c r="W18" i="101"/>
  <c r="U18" i="101"/>
  <c r="AB18" i="101"/>
  <c r="Y18" i="101"/>
  <c r="AE17" i="101"/>
  <c r="E12" i="80" s="1"/>
  <c r="AM17" i="101"/>
  <c r="E20" i="101"/>
  <c r="D16" i="110"/>
  <c r="P19" i="101"/>
  <c r="J19" i="101"/>
  <c r="L19" i="101"/>
  <c r="M19" i="101" s="1"/>
  <c r="H15" i="110"/>
  <c r="I14" i="110"/>
  <c r="O26" i="80"/>
  <c r="O27" i="80"/>
  <c r="O33" i="80"/>
  <c r="O39" i="80"/>
  <c r="O10" i="80"/>
  <c r="O28" i="80"/>
  <c r="O30" i="80"/>
  <c r="O13" i="80"/>
  <c r="O16" i="80"/>
  <c r="O34" i="80"/>
  <c r="O35" i="80"/>
  <c r="O15" i="80"/>
  <c r="O36" i="80"/>
  <c r="O38" i="80"/>
  <c r="O21" i="80"/>
  <c r="O24" i="80"/>
  <c r="O20" i="80"/>
  <c r="O37" i="80"/>
  <c r="O11" i="80"/>
  <c r="O17" i="80"/>
  <c r="O23" i="80"/>
  <c r="O19" i="80"/>
  <c r="O25" i="80"/>
  <c r="O31" i="80"/>
  <c r="O22" i="80"/>
  <c r="O18" i="80"/>
  <c r="O12" i="80"/>
  <c r="O14" i="80"/>
  <c r="O29" i="80"/>
  <c r="O32" i="80"/>
  <c r="Z6" i="101"/>
  <c r="Z7" i="101" s="1"/>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S19" i="101" l="1"/>
  <c r="G17" i="110"/>
  <c r="X18" i="101"/>
  <c r="F18" i="110"/>
  <c r="H21" i="101"/>
  <c r="C21" i="101"/>
  <c r="D21" i="101" s="1"/>
  <c r="J14" i="110"/>
  <c r="AD18" i="101"/>
  <c r="D13" i="80"/>
  <c r="AP18" i="101"/>
  <c r="AQ18" i="101"/>
  <c r="I15" i="110"/>
  <c r="K19" i="101"/>
  <c r="E16" i="110"/>
  <c r="I20" i="101"/>
  <c r="C17" i="110" l="1"/>
  <c r="D17" i="110"/>
  <c r="Y19" i="101"/>
  <c r="W19" i="101"/>
  <c r="V19" i="101"/>
  <c r="U19" i="101"/>
  <c r="P14" i="110"/>
  <c r="Q14" i="110" s="1"/>
  <c r="R14" i="110" s="1"/>
  <c r="C16" i="80"/>
  <c r="H16" i="110"/>
  <c r="L20" i="101"/>
  <c r="M20" i="101" s="1"/>
  <c r="P20" i="101"/>
  <c r="J20" i="101"/>
  <c r="J15" i="110"/>
  <c r="AD19" i="101"/>
  <c r="AQ19" i="101"/>
  <c r="D14" i="80"/>
  <c r="AB19" i="101"/>
  <c r="AP19" i="101"/>
  <c r="AE18" i="101"/>
  <c r="E13" i="80" s="1"/>
  <c r="AM18" i="101"/>
  <c r="S20" i="101" l="1"/>
  <c r="G18" i="110"/>
  <c r="H22" i="101"/>
  <c r="C22" i="101"/>
  <c r="D22" i="101" s="1"/>
  <c r="E21" i="101"/>
  <c r="E17" i="110" s="1"/>
  <c r="F19" i="110"/>
  <c r="X19" i="101"/>
  <c r="P15" i="110"/>
  <c r="Q15" i="110" s="1"/>
  <c r="R15" i="110" s="1"/>
  <c r="I16" i="110"/>
  <c r="K20" i="101"/>
  <c r="AM19" i="101"/>
  <c r="AE19" i="101"/>
  <c r="E14" i="80" s="1"/>
  <c r="C18" i="110" l="1"/>
  <c r="C17" i="80"/>
  <c r="I21" i="101"/>
  <c r="P21" i="101" s="1"/>
  <c r="Y20" i="101"/>
  <c r="V20" i="101"/>
  <c r="W20" i="101"/>
  <c r="U20" i="101"/>
  <c r="E22" i="101"/>
  <c r="D18" i="110"/>
  <c r="J16" i="110"/>
  <c r="AB20" i="101"/>
  <c r="D15" i="80"/>
  <c r="AQ20" i="101"/>
  <c r="AP20" i="101"/>
  <c r="AD20" i="101"/>
  <c r="F12" i="80"/>
  <c r="F10" i="80"/>
  <c r="F11" i="80"/>
  <c r="L4" i="3"/>
  <c r="K4" i="3"/>
  <c r="K8" i="3" s="1"/>
  <c r="I4" i="3"/>
  <c r="G19" i="110" l="1"/>
  <c r="H17" i="110"/>
  <c r="J21" i="101"/>
  <c r="K21" i="101" s="1"/>
  <c r="L21" i="101"/>
  <c r="M21" i="101" s="1"/>
  <c r="S21" i="101" s="1"/>
  <c r="X20" i="101"/>
  <c r="C23" i="101"/>
  <c r="D23" i="101" s="1"/>
  <c r="F20" i="110"/>
  <c r="H23" i="101"/>
  <c r="P16" i="110"/>
  <c r="Q16" i="110" s="1"/>
  <c r="R16" i="110" s="1"/>
  <c r="E18" i="110"/>
  <c r="I22" i="101"/>
  <c r="AM20" i="101"/>
  <c r="AE20" i="101"/>
  <c r="E15" i="80" s="1"/>
  <c r="G12" i="80"/>
  <c r="K12" i="80" s="1"/>
  <c r="G11" i="80"/>
  <c r="H11" i="80" s="1"/>
  <c r="G10" i="80"/>
  <c r="H10" i="80" s="1"/>
  <c r="I54" i="3"/>
  <c r="I51" i="3"/>
  <c r="I50" i="3"/>
  <c r="I47" i="3"/>
  <c r="I57" i="3"/>
  <c r="I56" i="3"/>
  <c r="I48" i="3"/>
  <c r="I53" i="3"/>
  <c r="I55" i="3"/>
  <c r="I52" i="3"/>
  <c r="I49" i="3"/>
  <c r="K21" i="3"/>
  <c r="K56" i="3"/>
  <c r="K48" i="3"/>
  <c r="K53" i="3"/>
  <c r="K54" i="3"/>
  <c r="K51" i="3"/>
  <c r="K50" i="3"/>
  <c r="K47" i="3"/>
  <c r="K55" i="3"/>
  <c r="K52" i="3"/>
  <c r="K57" i="3"/>
  <c r="K49" i="3"/>
  <c r="J4" i="3"/>
  <c r="J30" i="3" s="1"/>
  <c r="I43" i="3"/>
  <c r="I8" i="3"/>
  <c r="L17" i="3"/>
  <c r="L41" i="3"/>
  <c r="L42" i="3"/>
  <c r="L40" i="3"/>
  <c r="L39" i="3"/>
  <c r="L38" i="3"/>
  <c r="L8" i="3"/>
  <c r="L37" i="3"/>
  <c r="K26" i="3"/>
  <c r="K38" i="3"/>
  <c r="K45" i="3"/>
  <c r="K25" i="3"/>
  <c r="K40" i="3"/>
  <c r="K13" i="3"/>
  <c r="K16" i="3"/>
  <c r="I39" i="3"/>
  <c r="I11" i="3"/>
  <c r="I38" i="3"/>
  <c r="I25" i="3"/>
  <c r="I22" i="3"/>
  <c r="I9" i="3"/>
  <c r="I30" i="3"/>
  <c r="L24" i="3"/>
  <c r="L15" i="3"/>
  <c r="L14" i="3"/>
  <c r="I44" i="3"/>
  <c r="I26" i="3"/>
  <c r="L26" i="3"/>
  <c r="K19" i="3"/>
  <c r="K30" i="3"/>
  <c r="K34" i="3"/>
  <c r="K12" i="3"/>
  <c r="K23" i="3"/>
  <c r="K46" i="3"/>
  <c r="K14" i="3"/>
  <c r="K28" i="3"/>
  <c r="I12" i="3"/>
  <c r="I19" i="3"/>
  <c r="I21" i="3"/>
  <c r="L28" i="3"/>
  <c r="L20" i="3"/>
  <c r="I37" i="3"/>
  <c r="I28" i="3"/>
  <c r="I23" i="3"/>
  <c r="I36" i="3"/>
  <c r="L11" i="3"/>
  <c r="L31" i="3"/>
  <c r="L33" i="3"/>
  <c r="L23" i="3"/>
  <c r="L34" i="3"/>
  <c r="L12" i="3"/>
  <c r="L35" i="3"/>
  <c r="L30" i="3"/>
  <c r="L22" i="3"/>
  <c r="L25" i="3"/>
  <c r="L32" i="3"/>
  <c r="L18" i="3"/>
  <c r="L27" i="3"/>
  <c r="I17" i="3"/>
  <c r="I33" i="3"/>
  <c r="I27" i="3"/>
  <c r="I20" i="3"/>
  <c r="I31" i="3"/>
  <c r="I35" i="3"/>
  <c r="I24" i="3"/>
  <c r="I42" i="3"/>
  <c r="I45" i="3"/>
  <c r="I18" i="3"/>
  <c r="I41" i="3"/>
  <c r="I13" i="3"/>
  <c r="I34" i="3"/>
  <c r="I10" i="3"/>
  <c r="I14" i="3"/>
  <c r="I29" i="3"/>
  <c r="K22" i="3"/>
  <c r="K9" i="3"/>
  <c r="K27" i="3"/>
  <c r="K11" i="3"/>
  <c r="K18" i="3"/>
  <c r="K43" i="3"/>
  <c r="K32" i="3"/>
  <c r="K31" i="3"/>
  <c r="K15" i="3"/>
  <c r="K42" i="3"/>
  <c r="K17" i="3"/>
  <c r="K41" i="3"/>
  <c r="K36" i="3"/>
  <c r="K35" i="3"/>
  <c r="K29" i="3"/>
  <c r="K39" i="3"/>
  <c r="K33" i="3"/>
  <c r="K24" i="3"/>
  <c r="K37" i="3"/>
  <c r="K10" i="3"/>
  <c r="K44" i="3"/>
  <c r="K20" i="3"/>
  <c r="I40" i="3"/>
  <c r="I15" i="3"/>
  <c r="I16" i="3"/>
  <c r="I46" i="3"/>
  <c r="I32" i="3"/>
  <c r="L21" i="3"/>
  <c r="L19" i="3"/>
  <c r="L10" i="3"/>
  <c r="L29" i="3"/>
  <c r="L16" i="3"/>
  <c r="L36" i="3"/>
  <c r="L13" i="3"/>
  <c r="L9" i="3"/>
  <c r="C18" i="80" l="1"/>
  <c r="I17" i="110"/>
  <c r="C19" i="110"/>
  <c r="Y21" i="101"/>
  <c r="W21" i="101"/>
  <c r="U21" i="101"/>
  <c r="V21" i="101"/>
  <c r="R15" i="101"/>
  <c r="Q15" i="101"/>
  <c r="J17" i="110"/>
  <c r="AD21" i="101"/>
  <c r="AQ21" i="101"/>
  <c r="AP21" i="101"/>
  <c r="AB21" i="101"/>
  <c r="D16" i="80"/>
  <c r="R21" i="101"/>
  <c r="R20" i="101"/>
  <c r="R16" i="101"/>
  <c r="R17" i="101"/>
  <c r="R18" i="101"/>
  <c r="R19" i="101"/>
  <c r="Q16" i="101"/>
  <c r="Q17" i="101"/>
  <c r="Q18" i="101"/>
  <c r="Q19" i="101"/>
  <c r="Q20" i="101"/>
  <c r="Q21" i="101"/>
  <c r="E23" i="101"/>
  <c r="D19" i="110"/>
  <c r="H18" i="110"/>
  <c r="P22" i="101"/>
  <c r="J22" i="101"/>
  <c r="L22" i="101"/>
  <c r="M22" i="101" s="1"/>
  <c r="N10" i="80"/>
  <c r="N12" i="80"/>
  <c r="N11" i="80"/>
  <c r="H12" i="80"/>
  <c r="K11" i="80"/>
  <c r="K10" i="80"/>
  <c r="F13" i="80"/>
  <c r="J42" i="3"/>
  <c r="J33" i="3"/>
  <c r="J38" i="3"/>
  <c r="J21" i="3"/>
  <c r="J36" i="3"/>
  <c r="J19" i="3"/>
  <c r="J46" i="3"/>
  <c r="J11" i="3"/>
  <c r="J29" i="3"/>
  <c r="J35" i="3"/>
  <c r="J13" i="3"/>
  <c r="J26" i="3"/>
  <c r="J8" i="3"/>
  <c r="J32" i="3"/>
  <c r="J39" i="3"/>
  <c r="J9" i="3"/>
  <c r="J10" i="3"/>
  <c r="J28" i="3"/>
  <c r="J12" i="3"/>
  <c r="J16" i="3"/>
  <c r="J41" i="3"/>
  <c r="J18" i="3"/>
  <c r="J34" i="3"/>
  <c r="J44" i="3"/>
  <c r="J45" i="3"/>
  <c r="J27" i="3"/>
  <c r="J31" i="3"/>
  <c r="J40" i="3"/>
  <c r="J17" i="3"/>
  <c r="J15" i="3"/>
  <c r="J23" i="3"/>
  <c r="J22" i="3"/>
  <c r="J20" i="3"/>
  <c r="J24" i="3"/>
  <c r="J14" i="3"/>
  <c r="J51" i="3"/>
  <c r="J56" i="3"/>
  <c r="J48" i="3"/>
  <c r="J52" i="3"/>
  <c r="J49" i="3"/>
  <c r="J57" i="3"/>
  <c r="J53" i="3"/>
  <c r="J50" i="3"/>
  <c r="J55" i="3"/>
  <c r="J47" i="3"/>
  <c r="J54" i="3"/>
  <c r="J25" i="3"/>
  <c r="J43" i="3"/>
  <c r="J37" i="3"/>
  <c r="S22" i="101" l="1"/>
  <c r="G20" i="110"/>
  <c r="H24" i="101"/>
  <c r="C24" i="101"/>
  <c r="D24" i="101" s="1"/>
  <c r="T16" i="101"/>
  <c r="X21" i="101"/>
  <c r="F21" i="110"/>
  <c r="P17" i="110"/>
  <c r="Q17" i="110" s="1"/>
  <c r="R17" i="110" s="1"/>
  <c r="T15" i="101"/>
  <c r="AE21" i="101"/>
  <c r="E16" i="80" s="1"/>
  <c r="AM21" i="101"/>
  <c r="T21" i="101"/>
  <c r="T20" i="101"/>
  <c r="T19" i="101"/>
  <c r="T18" i="101"/>
  <c r="T17" i="101"/>
  <c r="Q22" i="101"/>
  <c r="R22" i="101"/>
  <c r="E19" i="110"/>
  <c r="I23" i="101"/>
  <c r="I18" i="110"/>
  <c r="K22" i="101"/>
  <c r="Q10" i="80"/>
  <c r="Z15" i="101" s="1"/>
  <c r="AA15" i="101" s="1"/>
  <c r="Q12" i="80"/>
  <c r="Q11" i="80"/>
  <c r="Z16" i="101" s="1"/>
  <c r="AA16" i="101" s="1"/>
  <c r="G13" i="80"/>
  <c r="K13" i="80" s="1"/>
  <c r="F14" i="80"/>
  <c r="AC16" i="101" l="1"/>
  <c r="K12" i="110" s="1"/>
  <c r="C19" i="80"/>
  <c r="C20" i="110"/>
  <c r="Y22" i="101"/>
  <c r="W22" i="101"/>
  <c r="U22" i="101"/>
  <c r="V22" i="101"/>
  <c r="E24" i="101"/>
  <c r="D20" i="110"/>
  <c r="J23" i="101"/>
  <c r="H19" i="110"/>
  <c r="P23" i="101"/>
  <c r="L23" i="101"/>
  <c r="M23" i="101" s="1"/>
  <c r="J18" i="110"/>
  <c r="AB22" i="101"/>
  <c r="AD22" i="101"/>
  <c r="AQ22" i="101"/>
  <c r="AP22" i="101"/>
  <c r="D17" i="80"/>
  <c r="T22" i="101"/>
  <c r="AC15" i="101"/>
  <c r="K11" i="110" s="1"/>
  <c r="Z17" i="101"/>
  <c r="AA17" i="101" s="1"/>
  <c r="AC17" i="101" s="1"/>
  <c r="K13" i="110" s="1"/>
  <c r="N13" i="80"/>
  <c r="AO16" i="101"/>
  <c r="AR16" i="101" s="1"/>
  <c r="M12" i="110" s="1"/>
  <c r="AG16" i="101"/>
  <c r="AH16" i="101" s="1"/>
  <c r="H13" i="80"/>
  <c r="G14" i="80"/>
  <c r="H14" i="80" s="1"/>
  <c r="F15" i="80"/>
  <c r="S23" i="101" l="1"/>
  <c r="G21" i="110"/>
  <c r="F22" i="110"/>
  <c r="H25" i="101"/>
  <c r="C25" i="101"/>
  <c r="D25" i="101" s="1"/>
  <c r="X22" i="101"/>
  <c r="P18" i="110"/>
  <c r="Q18" i="110" s="1"/>
  <c r="R18" i="110" s="1"/>
  <c r="I19" i="110"/>
  <c r="K23" i="101"/>
  <c r="AM22" i="101"/>
  <c r="AE22" i="101"/>
  <c r="E17" i="80" s="1"/>
  <c r="Q23" i="101"/>
  <c r="R23" i="101"/>
  <c r="E20" i="110"/>
  <c r="I24" i="101"/>
  <c r="AG15" i="101"/>
  <c r="AI15" i="101" s="1"/>
  <c r="AO15" i="101"/>
  <c r="AR15" i="101" s="1"/>
  <c r="M11" i="110" s="1"/>
  <c r="AO17" i="101"/>
  <c r="AR17" i="101" s="1"/>
  <c r="M13" i="110" s="1"/>
  <c r="AG17" i="101"/>
  <c r="AI17" i="101" s="1"/>
  <c r="Q13" i="80"/>
  <c r="Z18" i="101" s="1"/>
  <c r="AA18" i="101" s="1"/>
  <c r="AC18" i="101" s="1"/>
  <c r="K14" i="110" s="1"/>
  <c r="N14" i="80"/>
  <c r="AI16" i="101"/>
  <c r="AJ16" i="101" s="1"/>
  <c r="AK16" i="101" s="1"/>
  <c r="AL16" i="101" s="1"/>
  <c r="L12" i="110" s="1"/>
  <c r="K14" i="80"/>
  <c r="G15" i="80"/>
  <c r="K15" i="80" s="1"/>
  <c r="F16" i="80"/>
  <c r="G16" i="80" s="1"/>
  <c r="H16" i="80" s="1"/>
  <c r="C21" i="110" l="1"/>
  <c r="E25" i="101"/>
  <c r="E21" i="110" s="1"/>
  <c r="C20" i="80"/>
  <c r="Y23" i="101"/>
  <c r="U23" i="101"/>
  <c r="W23" i="101"/>
  <c r="V23" i="101"/>
  <c r="T23" i="101"/>
  <c r="L24" i="101"/>
  <c r="M24" i="101" s="1"/>
  <c r="H20" i="110"/>
  <c r="P24" i="101"/>
  <c r="J24" i="101"/>
  <c r="J19" i="110"/>
  <c r="AQ23" i="101"/>
  <c r="AP23" i="101"/>
  <c r="D18" i="80"/>
  <c r="AD23" i="101"/>
  <c r="AB23" i="101"/>
  <c r="AH15" i="101"/>
  <c r="AJ15" i="101" s="1"/>
  <c r="AK15" i="101" s="1"/>
  <c r="AL15" i="101" s="1"/>
  <c r="L11" i="110" s="1"/>
  <c r="AH17" i="101"/>
  <c r="AJ17" i="101" s="1"/>
  <c r="AK17" i="101" s="1"/>
  <c r="AL17" i="101" s="1"/>
  <c r="L13" i="110" s="1"/>
  <c r="Q14" i="80"/>
  <c r="Z19" i="101" s="1"/>
  <c r="AA19" i="101" s="1"/>
  <c r="AC19" i="101" s="1"/>
  <c r="K15" i="110" s="1"/>
  <c r="N15" i="80"/>
  <c r="AS16" i="101"/>
  <c r="N12" i="110" s="1"/>
  <c r="AG18" i="101"/>
  <c r="AI18" i="101" s="1"/>
  <c r="AO18" i="101"/>
  <c r="AR18" i="101" s="1"/>
  <c r="M14" i="110" s="1"/>
  <c r="H15" i="80"/>
  <c r="K16" i="80"/>
  <c r="N16" i="80"/>
  <c r="F17" i="80"/>
  <c r="S24" i="101" l="1"/>
  <c r="D21" i="110"/>
  <c r="I25" i="101"/>
  <c r="H21" i="110" s="1"/>
  <c r="X23" i="101"/>
  <c r="P19" i="110"/>
  <c r="Q19" i="110" s="1"/>
  <c r="R19" i="110" s="1"/>
  <c r="I20" i="110"/>
  <c r="K24" i="101"/>
  <c r="R24" i="101"/>
  <c r="Q24" i="101"/>
  <c r="AE23" i="101"/>
  <c r="E18" i="80" s="1"/>
  <c r="F18" i="80" s="1"/>
  <c r="AM23" i="101"/>
  <c r="AS15" i="101"/>
  <c r="AS17" i="101"/>
  <c r="Q15" i="80"/>
  <c r="AG19" i="101"/>
  <c r="AI19" i="101" s="1"/>
  <c r="AO19" i="101"/>
  <c r="AR19" i="101" s="1"/>
  <c r="M15" i="110" s="1"/>
  <c r="AH18" i="101"/>
  <c r="AJ18" i="101" s="1"/>
  <c r="AK18" i="101" s="1"/>
  <c r="AL18" i="101" s="1"/>
  <c r="L14" i="110" s="1"/>
  <c r="Q16" i="80"/>
  <c r="G17" i="80"/>
  <c r="K17" i="80" s="1"/>
  <c r="P25" i="101" l="1"/>
  <c r="J25" i="101"/>
  <c r="I21" i="110" s="1"/>
  <c r="L25" i="101"/>
  <c r="M25" i="101" s="1"/>
  <c r="Y24" i="101"/>
  <c r="U24" i="101"/>
  <c r="V24" i="101"/>
  <c r="W24" i="101"/>
  <c r="T24" i="101"/>
  <c r="J20" i="110"/>
  <c r="D19" i="80"/>
  <c r="AB24" i="101"/>
  <c r="AD24" i="101"/>
  <c r="AQ24" i="101"/>
  <c r="AP24" i="101"/>
  <c r="N13" i="110"/>
  <c r="O13" i="110" s="1"/>
  <c r="N11" i="110"/>
  <c r="O12" i="110" s="1"/>
  <c r="Z20" i="101"/>
  <c r="AA20" i="101" s="1"/>
  <c r="AC20" i="101" s="1"/>
  <c r="K16" i="110" s="1"/>
  <c r="N17" i="80"/>
  <c r="AH19" i="101"/>
  <c r="AJ19" i="101" s="1"/>
  <c r="AK19" i="101" s="1"/>
  <c r="AL19" i="101" s="1"/>
  <c r="L15" i="110" s="1"/>
  <c r="AS18" i="101"/>
  <c r="N14" i="110" s="1"/>
  <c r="Z21" i="101"/>
  <c r="AA21" i="101" s="1"/>
  <c r="AC21" i="101" s="1"/>
  <c r="K17" i="110" s="1"/>
  <c r="H17" i="80"/>
  <c r="G18" i="80"/>
  <c r="K18" i="80" s="1"/>
  <c r="S25" i="101" l="1"/>
  <c r="Q25" i="101"/>
  <c r="R25" i="101"/>
  <c r="K25" i="101"/>
  <c r="X24" i="101"/>
  <c r="P20" i="110"/>
  <c r="Q20" i="110" s="1"/>
  <c r="R20" i="110" s="1"/>
  <c r="AE24" i="101"/>
  <c r="E19" i="80" s="1"/>
  <c r="F19" i="80" s="1"/>
  <c r="G19" i="80" s="1"/>
  <c r="K19" i="80" s="1"/>
  <c r="AM24" i="101"/>
  <c r="Q17" i="80"/>
  <c r="Z22" i="101" s="1"/>
  <c r="AA22" i="101" s="1"/>
  <c r="AC22" i="101" s="1"/>
  <c r="K18" i="110" s="1"/>
  <c r="AG20" i="101"/>
  <c r="AH20" i="101" s="1"/>
  <c r="AO20" i="101"/>
  <c r="AR20" i="101" s="1"/>
  <c r="M16" i="110" s="1"/>
  <c r="O14" i="110"/>
  <c r="N18" i="80"/>
  <c r="AO21" i="101"/>
  <c r="AR21" i="101" s="1"/>
  <c r="M17" i="110" s="1"/>
  <c r="AG21" i="101"/>
  <c r="AI21" i="101" s="1"/>
  <c r="AS19" i="101"/>
  <c r="N15" i="110" s="1"/>
  <c r="H18" i="80"/>
  <c r="T25" i="101" l="1"/>
  <c r="J21" i="110"/>
  <c r="P21" i="110" s="1"/>
  <c r="Q21" i="110" s="1"/>
  <c r="R21" i="110" s="1"/>
  <c r="AQ25" i="101"/>
  <c r="D20" i="80"/>
  <c r="V25" i="101"/>
  <c r="AB25" i="101"/>
  <c r="AP25" i="101"/>
  <c r="U25" i="101"/>
  <c r="W25" i="101"/>
  <c r="AD25" i="101"/>
  <c r="Y25" i="101"/>
  <c r="AI20" i="101"/>
  <c r="AJ20" i="101" s="1"/>
  <c r="AK20" i="101" s="1"/>
  <c r="AL20" i="101" s="1"/>
  <c r="L16" i="110" s="1"/>
  <c r="Q18" i="80"/>
  <c r="Z23" i="101" s="1"/>
  <c r="AA23" i="101" s="1"/>
  <c r="AC23" i="101" s="1"/>
  <c r="K19" i="110" s="1"/>
  <c r="O15" i="110"/>
  <c r="N19" i="80"/>
  <c r="AH21" i="101"/>
  <c r="AJ21" i="101" s="1"/>
  <c r="AK21" i="101" s="1"/>
  <c r="AL21" i="101" s="1"/>
  <c r="L17" i="110" s="1"/>
  <c r="H19" i="80"/>
  <c r="AO22" i="101"/>
  <c r="AR22" i="101" s="1"/>
  <c r="M18" i="110" s="1"/>
  <c r="AG22" i="101"/>
  <c r="X25" i="101" l="1"/>
  <c r="AE25" i="101"/>
  <c r="E20" i="80" s="1"/>
  <c r="F20" i="80" s="1"/>
  <c r="G20" i="80" s="1"/>
  <c r="K20" i="80" s="1"/>
  <c r="AM25" i="101"/>
  <c r="Q19" i="80"/>
  <c r="Z24" i="101" s="1"/>
  <c r="AA24" i="101" s="1"/>
  <c r="AC24" i="101" s="1"/>
  <c r="K20" i="110" s="1"/>
  <c r="AS20" i="101"/>
  <c r="N16" i="110" s="1"/>
  <c r="AS21" i="101"/>
  <c r="N17" i="110" s="1"/>
  <c r="AI22" i="101"/>
  <c r="AH22" i="101"/>
  <c r="AG23" i="101"/>
  <c r="AO23" i="101"/>
  <c r="AR23" i="101" s="1"/>
  <c r="M19" i="110" s="1"/>
  <c r="N20" i="80" l="1"/>
  <c r="H20" i="80"/>
  <c r="Q20" i="80" s="1"/>
  <c r="Z25" i="101" s="1"/>
  <c r="AA25" i="101" s="1"/>
  <c r="AC25" i="101" s="1"/>
  <c r="K21" i="110" s="1"/>
  <c r="O16" i="110"/>
  <c r="AJ22" i="101"/>
  <c r="AK22" i="101" s="1"/>
  <c r="AL22" i="101" s="1"/>
  <c r="L18" i="110" s="1"/>
  <c r="AI23" i="101"/>
  <c r="AH23" i="101"/>
  <c r="AO24" i="101"/>
  <c r="AR24" i="101" s="1"/>
  <c r="M20" i="110" s="1"/>
  <c r="AG24" i="101"/>
  <c r="O17" i="110" l="1"/>
  <c r="AS22" i="101"/>
  <c r="N18" i="110" s="1"/>
  <c r="AJ23" i="101"/>
  <c r="AK23" i="101" s="1"/>
  <c r="AL23" i="101" s="1"/>
  <c r="L19" i="110" s="1"/>
  <c r="AO25" i="101"/>
  <c r="AR25" i="101" s="1"/>
  <c r="M21" i="110" s="1"/>
  <c r="AG25" i="101"/>
  <c r="AI24" i="101"/>
  <c r="AH24" i="101"/>
  <c r="O18" i="110" l="1"/>
  <c r="AS23" i="101"/>
  <c r="N19" i="110" s="1"/>
  <c r="AI25" i="101"/>
  <c r="AH25" i="101"/>
  <c r="AJ24" i="101"/>
  <c r="AK24" i="101" s="1"/>
  <c r="AL24" i="101" s="1"/>
  <c r="L20" i="110" s="1"/>
  <c r="O19" i="110" l="1"/>
  <c r="AS24" i="101"/>
  <c r="N20" i="110" s="1"/>
  <c r="AJ25" i="101"/>
  <c r="AK25" i="101" s="1"/>
  <c r="AL25" i="101" s="1"/>
  <c r="L21" i="110" s="1"/>
  <c r="O20" i="110" l="1"/>
  <c r="AS25" i="101"/>
  <c r="N21" i="110" s="1"/>
  <c r="O21" i="110" l="1"/>
  <c r="G22" i="110" l="1"/>
  <c r="C26" i="101"/>
  <c r="D26" i="101" s="1"/>
  <c r="H26" i="101"/>
  <c r="F23" i="110"/>
  <c r="C22" i="110" l="1"/>
  <c r="C21" i="80"/>
  <c r="E26" i="101" l="1"/>
  <c r="D22" i="110"/>
  <c r="E22" i="110" l="1"/>
  <c r="I26" i="101"/>
  <c r="J26" i="101" l="1"/>
  <c r="L26" i="101"/>
  <c r="M26" i="101" s="1"/>
  <c r="P26" i="101"/>
  <c r="H22" i="110"/>
  <c r="S26" i="101" l="1"/>
  <c r="R26" i="101"/>
  <c r="Q26" i="101"/>
  <c r="I22" i="110"/>
  <c r="K26" i="101"/>
  <c r="Y26" i="101" l="1"/>
  <c r="U26" i="101"/>
  <c r="V26" i="101"/>
  <c r="W26" i="101"/>
  <c r="T26" i="101"/>
  <c r="J22" i="110"/>
  <c r="P22" i="110" s="1"/>
  <c r="Q22" i="110" s="1"/>
  <c r="R22" i="110" s="1"/>
  <c r="AP26" i="101"/>
  <c r="AD26" i="101"/>
  <c r="D21" i="80"/>
  <c r="AQ26" i="101"/>
  <c r="AB26" i="101"/>
  <c r="X26" i="101" l="1"/>
  <c r="AM26" i="101"/>
  <c r="AE26" i="101"/>
  <c r="E21" i="80" s="1"/>
  <c r="F21" i="80" s="1"/>
  <c r="G21" i="80" s="1"/>
  <c r="N21" i="80" s="1"/>
  <c r="H21" i="80" l="1"/>
  <c r="K21" i="80"/>
  <c r="Q21" i="80" l="1"/>
  <c r="Z26" i="101" s="1"/>
  <c r="AA26" i="101" s="1"/>
  <c r="AC26" i="101" s="1"/>
  <c r="G23" i="110" l="1"/>
  <c r="K22" i="110"/>
  <c r="AG26" i="101"/>
  <c r="AO26" i="101"/>
  <c r="AR26" i="101" s="1"/>
  <c r="M22" i="110" s="1"/>
  <c r="C27" i="101"/>
  <c r="D27" i="101" s="1"/>
  <c r="H27" i="101"/>
  <c r="F24" i="110"/>
  <c r="AI26" i="101" l="1"/>
  <c r="AH26" i="101"/>
  <c r="C23" i="110"/>
  <c r="C22" i="80"/>
  <c r="G24" i="110" l="1"/>
  <c r="F25" i="110"/>
  <c r="AJ26" i="101"/>
  <c r="AK26" i="101" s="1"/>
  <c r="AL26" i="101" s="1"/>
  <c r="L22" i="110" s="1"/>
  <c r="E27" i="101"/>
  <c r="D23" i="110"/>
  <c r="C28" i="101"/>
  <c r="D28" i="101" s="1"/>
  <c r="H28" i="101"/>
  <c r="AS26" i="101" l="1"/>
  <c r="N22" i="110" s="1"/>
  <c r="O22" i="110" s="1"/>
  <c r="E23" i="110"/>
  <c r="I27" i="101"/>
  <c r="C24" i="110"/>
  <c r="C23" i="80"/>
  <c r="G25" i="110" l="1"/>
  <c r="E28" i="101"/>
  <c r="D24" i="110"/>
  <c r="J27" i="101"/>
  <c r="L27" i="101"/>
  <c r="M27" i="101" s="1"/>
  <c r="P27" i="101"/>
  <c r="H23" i="110"/>
  <c r="C29" i="101"/>
  <c r="D29" i="101" s="1"/>
  <c r="H29" i="101"/>
  <c r="F26" i="110"/>
  <c r="S27" i="101" l="1"/>
  <c r="C25" i="110"/>
  <c r="E29" i="101"/>
  <c r="K27" i="101"/>
  <c r="I23" i="110"/>
  <c r="Q27" i="101"/>
  <c r="R27" i="101"/>
  <c r="E24" i="110"/>
  <c r="I28" i="101"/>
  <c r="C24" i="80"/>
  <c r="G26" i="110" l="1"/>
  <c r="Y27" i="101"/>
  <c r="V27" i="101"/>
  <c r="U27" i="101"/>
  <c r="W27" i="101"/>
  <c r="E25" i="110"/>
  <c r="I29" i="101"/>
  <c r="H25" i="110" s="1"/>
  <c r="D25" i="110"/>
  <c r="T27" i="101"/>
  <c r="H24" i="110"/>
  <c r="J28" i="101"/>
  <c r="L28" i="101"/>
  <c r="M28" i="101" s="1"/>
  <c r="P28" i="101"/>
  <c r="J23" i="110"/>
  <c r="AP27" i="101"/>
  <c r="AD27" i="101"/>
  <c r="D22" i="80"/>
  <c r="AQ27" i="101"/>
  <c r="AB27" i="101"/>
  <c r="C30" i="101"/>
  <c r="D30" i="101" s="1"/>
  <c r="H30" i="101"/>
  <c r="F27" i="110"/>
  <c r="S28" i="101" l="1"/>
  <c r="X27" i="101"/>
  <c r="L29" i="101"/>
  <c r="M29" i="101" s="1"/>
  <c r="J29" i="101"/>
  <c r="I25" i="110" s="1"/>
  <c r="P23" i="110"/>
  <c r="Q23" i="110" s="1"/>
  <c r="R23" i="110" s="1"/>
  <c r="P29" i="101"/>
  <c r="R28" i="101"/>
  <c r="Q28" i="101"/>
  <c r="C26" i="110"/>
  <c r="I24" i="110"/>
  <c r="K28" i="101"/>
  <c r="AE27" i="101"/>
  <c r="E22" i="80" s="1"/>
  <c r="F22" i="80" s="1"/>
  <c r="G22" i="80" s="1"/>
  <c r="N22" i="80" s="1"/>
  <c r="AM27" i="101"/>
  <c r="C25" i="80"/>
  <c r="R29" i="101" l="1"/>
  <c r="Q29" i="101"/>
  <c r="S29" i="101"/>
  <c r="G27" i="110"/>
  <c r="K29" i="101"/>
  <c r="J25" i="110" s="1"/>
  <c r="Y28" i="101"/>
  <c r="V28" i="101"/>
  <c r="U28" i="101"/>
  <c r="W28" i="101"/>
  <c r="T28" i="101"/>
  <c r="H22" i="80"/>
  <c r="K22" i="80"/>
  <c r="J24" i="110"/>
  <c r="AD28" i="101"/>
  <c r="AP28" i="101"/>
  <c r="D23" i="80"/>
  <c r="AB28" i="101"/>
  <c r="AQ28" i="101"/>
  <c r="E30" i="101"/>
  <c r="D26" i="110"/>
  <c r="C31" i="101"/>
  <c r="D31" i="101" s="1"/>
  <c r="H31" i="101"/>
  <c r="T29" i="101"/>
  <c r="V29" i="101"/>
  <c r="F28" i="110"/>
  <c r="S31" i="101"/>
  <c r="Z29" i="101" l="1"/>
  <c r="Y29" i="101"/>
  <c r="AD29" i="101"/>
  <c r="D24" i="80"/>
  <c r="U29" i="101"/>
  <c r="W29" i="101"/>
  <c r="AP29" i="101"/>
  <c r="AB29" i="101"/>
  <c r="AQ29" i="101"/>
  <c r="P24" i="110"/>
  <c r="Q24" i="110" s="1"/>
  <c r="R24" i="110" s="1"/>
  <c r="P25" i="110"/>
  <c r="Q25" i="110" s="1"/>
  <c r="C27" i="110"/>
  <c r="X28" i="101"/>
  <c r="Q22" i="80"/>
  <c r="Z27" i="101" s="1"/>
  <c r="AA27" i="101" s="1"/>
  <c r="AC27" i="101" s="1"/>
  <c r="AO27" i="101" s="1"/>
  <c r="AR27" i="101" s="1"/>
  <c r="M23" i="110" s="1"/>
  <c r="E26" i="110"/>
  <c r="I30" i="101"/>
  <c r="AM28" i="101"/>
  <c r="AE28" i="101"/>
  <c r="E23" i="80" s="1"/>
  <c r="F23" i="80" s="1"/>
  <c r="G23" i="80" s="1"/>
  <c r="N23" i="80" s="1"/>
  <c r="AE29" i="101"/>
  <c r="E24" i="80" s="1"/>
  <c r="F24" i="80" s="1"/>
  <c r="G24" i="80" s="1"/>
  <c r="AM29" i="101"/>
  <c r="C26" i="80"/>
  <c r="AA29" i="101"/>
  <c r="X29" i="101" l="1"/>
  <c r="R25" i="110"/>
  <c r="G28" i="110"/>
  <c r="AG27" i="101"/>
  <c r="AI27" i="101" s="1"/>
  <c r="K23" i="110"/>
  <c r="H23" i="80"/>
  <c r="K23" i="80"/>
  <c r="E31" i="101"/>
  <c r="D27" i="110"/>
  <c r="P30" i="101"/>
  <c r="H26" i="110"/>
  <c r="J30" i="101"/>
  <c r="L30" i="101"/>
  <c r="M30" i="101" s="1"/>
  <c r="C32" i="101"/>
  <c r="D32" i="101" s="1"/>
  <c r="H32" i="101"/>
  <c r="AC29" i="101"/>
  <c r="K25" i="110" s="1"/>
  <c r="S32" i="101"/>
  <c r="F29" i="110"/>
  <c r="N24" i="80"/>
  <c r="H24" i="80"/>
  <c r="K24" i="80"/>
  <c r="S30" i="101" l="1"/>
  <c r="C28" i="110"/>
  <c r="AH27" i="101"/>
  <c r="AJ27" i="101" s="1"/>
  <c r="AK27" i="101" s="1"/>
  <c r="AL27" i="101" s="1"/>
  <c r="Q23" i="80"/>
  <c r="Z28" i="101" s="1"/>
  <c r="AA28" i="101" s="1"/>
  <c r="AC28" i="101" s="1"/>
  <c r="AO28" i="101" s="1"/>
  <c r="AR28" i="101" s="1"/>
  <c r="M24" i="110" s="1"/>
  <c r="I31" i="101"/>
  <c r="E27" i="110"/>
  <c r="I26" i="110"/>
  <c r="K30" i="101"/>
  <c r="R30" i="101"/>
  <c r="Q30" i="101"/>
  <c r="AO29" i="101"/>
  <c r="AR29" i="101" s="1"/>
  <c r="M25" i="110" s="1"/>
  <c r="AG29" i="101"/>
  <c r="AH29" i="101" s="1"/>
  <c r="C27" i="80"/>
  <c r="Q24" i="80"/>
  <c r="G29" i="110" l="1"/>
  <c r="Y30" i="101"/>
  <c r="Z30" i="101"/>
  <c r="V30" i="101"/>
  <c r="W30" i="101"/>
  <c r="U30" i="101"/>
  <c r="AS27" i="101"/>
  <c r="N23" i="110" s="1"/>
  <c r="O23" i="110" s="1"/>
  <c r="L23" i="110"/>
  <c r="T30" i="101"/>
  <c r="K24" i="110"/>
  <c r="AG28" i="101"/>
  <c r="H27" i="110"/>
  <c r="J31" i="101"/>
  <c r="L31" i="101"/>
  <c r="M31" i="101" s="1"/>
  <c r="P31" i="101"/>
  <c r="E32" i="101"/>
  <c r="D28" i="110"/>
  <c r="J26" i="110"/>
  <c r="D25" i="80"/>
  <c r="AP30" i="101"/>
  <c r="AD30" i="101"/>
  <c r="AQ30" i="101"/>
  <c r="AB30" i="101"/>
  <c r="C33" i="101"/>
  <c r="D33" i="101" s="1"/>
  <c r="H33" i="101"/>
  <c r="AI29" i="101"/>
  <c r="AJ29" i="101" s="1"/>
  <c r="AK29" i="101" s="1"/>
  <c r="AL29" i="101" s="1"/>
  <c r="L25" i="110" s="1"/>
  <c r="S33" i="101"/>
  <c r="F30" i="110"/>
  <c r="P26" i="110" l="1"/>
  <c r="Q26" i="110" s="1"/>
  <c r="R26" i="110" s="1"/>
  <c r="X30" i="101"/>
  <c r="C29" i="110"/>
  <c r="AA30" i="101"/>
  <c r="AC30" i="101" s="1"/>
  <c r="E33" i="101"/>
  <c r="AH28" i="101"/>
  <c r="AI28" i="101"/>
  <c r="I32" i="101"/>
  <c r="E28" i="110"/>
  <c r="R31" i="101"/>
  <c r="Q31" i="101"/>
  <c r="AE30" i="101"/>
  <c r="E25" i="80" s="1"/>
  <c r="F25" i="80" s="1"/>
  <c r="G25" i="80" s="1"/>
  <c r="N25" i="80" s="1"/>
  <c r="AM30" i="101"/>
  <c r="I27" i="110"/>
  <c r="K31" i="101"/>
  <c r="AS29" i="101"/>
  <c r="N25" i="110" s="1"/>
  <c r="C28" i="80"/>
  <c r="G30" i="110" l="1"/>
  <c r="D29" i="110"/>
  <c r="K26" i="110"/>
  <c r="AO30" i="101"/>
  <c r="AR30" i="101" s="1"/>
  <c r="M26" i="110" s="1"/>
  <c r="Y31" i="101"/>
  <c r="U31" i="101"/>
  <c r="W31" i="101"/>
  <c r="V31" i="101"/>
  <c r="Z31" i="101"/>
  <c r="AG30" i="101"/>
  <c r="AH30" i="101" s="1"/>
  <c r="AJ28" i="101"/>
  <c r="AK28" i="101" s="1"/>
  <c r="AL28" i="101" s="1"/>
  <c r="L24" i="110" s="1"/>
  <c r="H28" i="110"/>
  <c r="J32" i="101"/>
  <c r="L32" i="101"/>
  <c r="M32" i="101" s="1"/>
  <c r="P32" i="101"/>
  <c r="J27" i="110"/>
  <c r="AD31" i="101"/>
  <c r="AP31" i="101"/>
  <c r="D26" i="80"/>
  <c r="AQ31" i="101"/>
  <c r="AB31" i="101"/>
  <c r="K25" i="80"/>
  <c r="H25" i="80"/>
  <c r="T31" i="101"/>
  <c r="I33" i="101"/>
  <c r="E29" i="110"/>
  <c r="C34" i="101"/>
  <c r="D34" i="101" s="1"/>
  <c r="H34" i="101"/>
  <c r="F31" i="110"/>
  <c r="S34" i="101"/>
  <c r="P27" i="110" l="1"/>
  <c r="Q27" i="110" s="1"/>
  <c r="R27" i="110" s="1"/>
  <c r="C30" i="110"/>
  <c r="Q25" i="80"/>
  <c r="X31" i="101"/>
  <c r="AI30" i="101"/>
  <c r="AJ30" i="101" s="1"/>
  <c r="AK30" i="101" s="1"/>
  <c r="AL30" i="101" s="1"/>
  <c r="L26" i="110" s="1"/>
  <c r="AA31" i="101"/>
  <c r="AS28" i="101"/>
  <c r="N24" i="110" s="1"/>
  <c r="E34" i="101"/>
  <c r="J33" i="101"/>
  <c r="L33" i="101"/>
  <c r="M33" i="101" s="1"/>
  <c r="H29" i="110"/>
  <c r="P33" i="101"/>
  <c r="AE31" i="101"/>
  <c r="E26" i="80" s="1"/>
  <c r="F26" i="80" s="1"/>
  <c r="G26" i="80" s="1"/>
  <c r="N26" i="80" s="1"/>
  <c r="AM31" i="101"/>
  <c r="R32" i="101"/>
  <c r="Q32" i="101"/>
  <c r="I28" i="110"/>
  <c r="K32" i="101"/>
  <c r="C29" i="80"/>
  <c r="G31" i="110" l="1"/>
  <c r="D30" i="110"/>
  <c r="AS30" i="101"/>
  <c r="AC31" i="101"/>
  <c r="K27" i="110" s="1"/>
  <c r="V32" i="101"/>
  <c r="W32" i="101"/>
  <c r="Y32" i="101"/>
  <c r="U32" i="101"/>
  <c r="Z32" i="101"/>
  <c r="O24" i="110"/>
  <c r="O25" i="110"/>
  <c r="T32" i="101"/>
  <c r="K26" i="80"/>
  <c r="H26" i="80"/>
  <c r="I34" i="101"/>
  <c r="H30" i="110" s="1"/>
  <c r="E30" i="110"/>
  <c r="Q33" i="101"/>
  <c r="R33" i="101"/>
  <c r="J28" i="110"/>
  <c r="AB32" i="101"/>
  <c r="AQ32" i="101"/>
  <c r="AP32" i="101"/>
  <c r="D27" i="80"/>
  <c r="AD32" i="101"/>
  <c r="I29" i="110"/>
  <c r="K33" i="101"/>
  <c r="N26" i="110"/>
  <c r="O26" i="110" s="1"/>
  <c r="C35" i="101"/>
  <c r="D35" i="101" s="1"/>
  <c r="H35" i="101"/>
  <c r="F32" i="110"/>
  <c r="S35" i="101"/>
  <c r="X32" i="101" l="1"/>
  <c r="AG31" i="101"/>
  <c r="AI31" i="101" s="1"/>
  <c r="P28" i="110"/>
  <c r="Q28" i="110" s="1"/>
  <c r="R28" i="110" s="1"/>
  <c r="C31" i="110"/>
  <c r="AO31" i="101"/>
  <c r="AR31" i="101" s="1"/>
  <c r="M27" i="110" s="1"/>
  <c r="D31" i="110"/>
  <c r="AA32" i="101"/>
  <c r="AC32" i="101" s="1"/>
  <c r="K28" i="110" s="1"/>
  <c r="U33" i="101"/>
  <c r="Z33" i="101"/>
  <c r="W33" i="101"/>
  <c r="Y33" i="101"/>
  <c r="V33" i="101"/>
  <c r="E35" i="101"/>
  <c r="I35" i="101" s="1"/>
  <c r="H31" i="110" s="1"/>
  <c r="Q26" i="80"/>
  <c r="L34" i="101"/>
  <c r="M34" i="101" s="1"/>
  <c r="AH31" i="101"/>
  <c r="AE32" i="101"/>
  <c r="E27" i="80" s="1"/>
  <c r="F27" i="80" s="1"/>
  <c r="G27" i="80" s="1"/>
  <c r="N27" i="80" s="1"/>
  <c r="AM32" i="101"/>
  <c r="T33" i="101"/>
  <c r="J34" i="101"/>
  <c r="I30" i="110" s="1"/>
  <c r="P34" i="101"/>
  <c r="C30" i="80"/>
  <c r="J29" i="110"/>
  <c r="AP33" i="101"/>
  <c r="AB33" i="101"/>
  <c r="D28" i="80"/>
  <c r="AD33" i="101"/>
  <c r="AQ33" i="101"/>
  <c r="Q34" i="101" l="1"/>
  <c r="R34" i="101"/>
  <c r="G32" i="110"/>
  <c r="P29" i="110"/>
  <c r="Q29" i="110" s="1"/>
  <c r="R29" i="110" s="1"/>
  <c r="K34" i="101"/>
  <c r="J30" i="110" s="1"/>
  <c r="AA33" i="101"/>
  <c r="AO32" i="101"/>
  <c r="AR32" i="101" s="1"/>
  <c r="M28" i="110" s="1"/>
  <c r="L35" i="101"/>
  <c r="M35" i="101" s="1"/>
  <c r="P35" i="101"/>
  <c r="J35" i="101"/>
  <c r="E31" i="110"/>
  <c r="X33" i="101"/>
  <c r="T34" i="101"/>
  <c r="H27" i="80"/>
  <c r="K27" i="80"/>
  <c r="AJ31" i="101"/>
  <c r="AK31" i="101" s="1"/>
  <c r="AL31" i="101" s="1"/>
  <c r="AG32" i="101"/>
  <c r="AE33" i="101"/>
  <c r="E28" i="80" s="1"/>
  <c r="F28" i="80" s="1"/>
  <c r="G28" i="80" s="1"/>
  <c r="N28" i="80" s="1"/>
  <c r="AM33" i="101"/>
  <c r="C36" i="101"/>
  <c r="D36" i="101" s="1"/>
  <c r="H36" i="101"/>
  <c r="U34" i="101"/>
  <c r="V34" i="101"/>
  <c r="F33" i="110"/>
  <c r="S36" i="101"/>
  <c r="Z34" i="101" l="1"/>
  <c r="Y34" i="101"/>
  <c r="AP34" i="101"/>
  <c r="D29" i="80"/>
  <c r="AB34" i="101"/>
  <c r="AD34" i="101"/>
  <c r="AM34" i="101" s="1"/>
  <c r="W34" i="101"/>
  <c r="X34" i="101" s="1"/>
  <c r="R35" i="101"/>
  <c r="AQ34" i="101"/>
  <c r="Q35" i="101"/>
  <c r="AC33" i="101"/>
  <c r="K29" i="110" s="1"/>
  <c r="K35" i="101"/>
  <c r="J31" i="110" s="1"/>
  <c r="I31" i="110"/>
  <c r="P30" i="110"/>
  <c r="Q30" i="110" s="1"/>
  <c r="R30" i="110" s="1"/>
  <c r="C32" i="110"/>
  <c r="E36" i="101"/>
  <c r="E32" i="110" s="1"/>
  <c r="Q27" i="80"/>
  <c r="AI32" i="101"/>
  <c r="AH32" i="101"/>
  <c r="C31" i="80"/>
  <c r="L27" i="110"/>
  <c r="AS31" i="101"/>
  <c r="N27" i="110" s="1"/>
  <c r="O27" i="110" s="1"/>
  <c r="D32" i="110"/>
  <c r="K28" i="80"/>
  <c r="H28" i="80"/>
  <c r="AA34" i="101"/>
  <c r="AE34" i="101" l="1"/>
  <c r="E29" i="80" s="1"/>
  <c r="F29" i="80" s="1"/>
  <c r="G29" i="80" s="1"/>
  <c r="U35" i="101"/>
  <c r="V35" i="101"/>
  <c r="W35" i="101"/>
  <c r="T35" i="101"/>
  <c r="Y35" i="101"/>
  <c r="Z35" i="101"/>
  <c r="AA35" i="101" s="1"/>
  <c r="AQ35" i="101"/>
  <c r="AD35" i="101"/>
  <c r="AM35" i="101" s="1"/>
  <c r="D30" i="80"/>
  <c r="AB35" i="101"/>
  <c r="AO33" i="101"/>
  <c r="AR33" i="101" s="1"/>
  <c r="M29" i="110" s="1"/>
  <c r="AP35" i="101"/>
  <c r="AG33" i="101"/>
  <c r="AH33" i="101" s="1"/>
  <c r="G33" i="110"/>
  <c r="I36" i="101"/>
  <c r="L36" i="101" s="1"/>
  <c r="M36" i="101" s="1"/>
  <c r="P31" i="110"/>
  <c r="Q31" i="110" s="1"/>
  <c r="R31" i="110" s="1"/>
  <c r="Q28" i="80"/>
  <c r="AJ32" i="101"/>
  <c r="AK32" i="101" s="1"/>
  <c r="AL32" i="101" s="1"/>
  <c r="AS32" i="101" s="1"/>
  <c r="N28" i="110" s="1"/>
  <c r="O28" i="110" s="1"/>
  <c r="AC34" i="101"/>
  <c r="K30" i="110" s="1"/>
  <c r="C37" i="101"/>
  <c r="D37" i="101" s="1"/>
  <c r="H37" i="101"/>
  <c r="X35" i="101"/>
  <c r="H29" i="80"/>
  <c r="N29" i="80"/>
  <c r="K29" i="80"/>
  <c r="AE35" i="101"/>
  <c r="E30" i="80" s="1"/>
  <c r="F30" i="80" s="1"/>
  <c r="G30" i="80" s="1"/>
  <c r="S37" i="101"/>
  <c r="F34" i="110"/>
  <c r="AI33" i="101" l="1"/>
  <c r="AJ33" i="101" s="1"/>
  <c r="AK33" i="101" s="1"/>
  <c r="AL33" i="101" s="1"/>
  <c r="L29" i="110" s="1"/>
  <c r="H32" i="110"/>
  <c r="J36" i="101"/>
  <c r="K36" i="101" s="1"/>
  <c r="J32" i="110" s="1"/>
  <c r="P32" i="110" s="1"/>
  <c r="Q32" i="110" s="1"/>
  <c r="R32" i="110" s="1"/>
  <c r="P36" i="101"/>
  <c r="R36" i="101" s="1"/>
  <c r="L28" i="110"/>
  <c r="I32" i="110"/>
  <c r="C33" i="110"/>
  <c r="AS33" i="101"/>
  <c r="N29" i="110" s="1"/>
  <c r="O29" i="110" s="1"/>
  <c r="AO34" i="101"/>
  <c r="AR34" i="101" s="1"/>
  <c r="M30" i="110" s="1"/>
  <c r="AG34" i="101"/>
  <c r="AH34" i="101" s="1"/>
  <c r="E37" i="101"/>
  <c r="D33" i="110"/>
  <c r="C32" i="80"/>
  <c r="AC35" i="101"/>
  <c r="H30" i="80"/>
  <c r="N30" i="80"/>
  <c r="K30" i="80"/>
  <c r="Q29" i="80"/>
  <c r="Q36" i="101" l="1"/>
  <c r="T36" i="101" s="1"/>
  <c r="AQ36" i="101"/>
  <c r="AD36" i="101"/>
  <c r="AM36" i="101" s="1"/>
  <c r="V36" i="101"/>
  <c r="AP36" i="101"/>
  <c r="D31" i="80"/>
  <c r="U36" i="101"/>
  <c r="X36" i="101" s="1"/>
  <c r="Y36" i="101"/>
  <c r="AB36" i="101"/>
  <c r="Z36" i="101"/>
  <c r="W36" i="101"/>
  <c r="G34" i="110"/>
  <c r="AO35" i="101"/>
  <c r="AR35" i="101" s="1"/>
  <c r="M31" i="110" s="1"/>
  <c r="K31" i="110"/>
  <c r="AI34" i="101"/>
  <c r="AJ34" i="101" s="1"/>
  <c r="AK34" i="101" s="1"/>
  <c r="AL34" i="101" s="1"/>
  <c r="L30" i="110" s="1"/>
  <c r="I37" i="101"/>
  <c r="H33" i="110" s="1"/>
  <c r="E33" i="110"/>
  <c r="AG35" i="101"/>
  <c r="AI35" i="101" s="1"/>
  <c r="C38" i="101"/>
  <c r="D38" i="101" s="1"/>
  <c r="H38" i="101"/>
  <c r="Q30" i="80"/>
  <c r="S38" i="101"/>
  <c r="F35" i="110"/>
  <c r="AE36" i="101" l="1"/>
  <c r="E31" i="80" s="1"/>
  <c r="F31" i="80" s="1"/>
  <c r="G31" i="80" s="1"/>
  <c r="H31" i="80" s="1"/>
  <c r="AA36" i="101"/>
  <c r="C34" i="110"/>
  <c r="E38" i="101"/>
  <c r="I38" i="101" s="1"/>
  <c r="P38" i="101" s="1"/>
  <c r="AH35" i="101"/>
  <c r="AJ35" i="101" s="1"/>
  <c r="AK35" i="101" s="1"/>
  <c r="AL35" i="101" s="1"/>
  <c r="C33" i="80"/>
  <c r="D34" i="110"/>
  <c r="L37" i="101"/>
  <c r="M37" i="101" s="1"/>
  <c r="J37" i="101"/>
  <c r="P37" i="101"/>
  <c r="AC36" i="101"/>
  <c r="N31" i="80"/>
  <c r="AS34" i="101"/>
  <c r="K31" i="80" l="1"/>
  <c r="H34" i="110"/>
  <c r="G35" i="110"/>
  <c r="AG36" i="101"/>
  <c r="AI36" i="101" s="1"/>
  <c r="K32" i="110"/>
  <c r="K37" i="101"/>
  <c r="U37" i="101" s="1"/>
  <c r="I33" i="110"/>
  <c r="AS35" i="101"/>
  <c r="N31" i="110" s="1"/>
  <c r="L31" i="110"/>
  <c r="E34" i="110"/>
  <c r="J38" i="101"/>
  <c r="Q37" i="101"/>
  <c r="R37" i="101"/>
  <c r="L38" i="101"/>
  <c r="M38" i="101" s="1"/>
  <c r="R38" i="101" s="1"/>
  <c r="AO36" i="101"/>
  <c r="AR36" i="101" s="1"/>
  <c r="M32" i="110" s="1"/>
  <c r="N30" i="110"/>
  <c r="O30" i="110" s="1"/>
  <c r="C39" i="101"/>
  <c r="D39" i="101" s="1"/>
  <c r="H39" i="101"/>
  <c r="Q31" i="80"/>
  <c r="F36" i="110"/>
  <c r="S39" i="101"/>
  <c r="Q38" i="101" l="1"/>
  <c r="O31" i="110"/>
  <c r="AB37" i="101"/>
  <c r="AP37" i="101"/>
  <c r="W37" i="101"/>
  <c r="AQ37" i="101"/>
  <c r="D32" i="80"/>
  <c r="AH36" i="101"/>
  <c r="AJ36" i="101" s="1"/>
  <c r="AK36" i="101" s="1"/>
  <c r="AL36" i="101" s="1"/>
  <c r="L32" i="110" s="1"/>
  <c r="Z37" i="101"/>
  <c r="Y37" i="101"/>
  <c r="V37" i="101"/>
  <c r="AD37" i="101"/>
  <c r="J33" i="110"/>
  <c r="K38" i="101"/>
  <c r="J34" i="110" s="1"/>
  <c r="I34" i="110"/>
  <c r="C35" i="110"/>
  <c r="T38" i="101"/>
  <c r="E39" i="101"/>
  <c r="C34" i="80"/>
  <c r="D35" i="110"/>
  <c r="T37" i="101"/>
  <c r="V38" i="101" l="1"/>
  <c r="AB38" i="101"/>
  <c r="W38" i="101"/>
  <c r="X37" i="101"/>
  <c r="AA37" i="101"/>
  <c r="AC37" i="101" s="1"/>
  <c r="K33" i="110" s="1"/>
  <c r="AS36" i="101"/>
  <c r="N32" i="110" s="1"/>
  <c r="O32" i="110" s="1"/>
  <c r="G36" i="110"/>
  <c r="AP38" i="101"/>
  <c r="D33" i="80"/>
  <c r="Z38" i="101"/>
  <c r="AQ38" i="101"/>
  <c r="AD38" i="101"/>
  <c r="AM38" i="101" s="1"/>
  <c r="Y38" i="101"/>
  <c r="U38" i="101"/>
  <c r="X38" i="101" s="1"/>
  <c r="P33" i="110"/>
  <c r="Q33" i="110" s="1"/>
  <c r="R33" i="110" s="1"/>
  <c r="P34" i="110"/>
  <c r="Q34" i="110" s="1"/>
  <c r="AM37" i="101"/>
  <c r="AE37" i="101"/>
  <c r="E32" i="80" s="1"/>
  <c r="F32" i="80" s="1"/>
  <c r="G32" i="80" s="1"/>
  <c r="I39" i="101"/>
  <c r="H35" i="110" s="1"/>
  <c r="E35" i="110"/>
  <c r="C40" i="101"/>
  <c r="D40" i="101" s="1"/>
  <c r="H40" i="101"/>
  <c r="S40" i="101"/>
  <c r="F37" i="110"/>
  <c r="AG37" i="101" l="1"/>
  <c r="AI37" i="101" s="1"/>
  <c r="AO37" i="101"/>
  <c r="AR37" i="101" s="1"/>
  <c r="M33" i="110" s="1"/>
  <c r="AA38" i="101"/>
  <c r="AC38" i="101" s="1"/>
  <c r="AE38" i="101"/>
  <c r="E33" i="80" s="1"/>
  <c r="F33" i="80" s="1"/>
  <c r="G33" i="80" s="1"/>
  <c r="K33" i="80" s="1"/>
  <c r="R34" i="110"/>
  <c r="H32" i="80"/>
  <c r="K32" i="80"/>
  <c r="N32" i="80"/>
  <c r="D36" i="110"/>
  <c r="AH37" i="101"/>
  <c r="E40" i="101"/>
  <c r="C36" i="110"/>
  <c r="C35" i="80"/>
  <c r="P39" i="101"/>
  <c r="L39" i="101"/>
  <c r="M39" i="101" s="1"/>
  <c r="J39" i="101"/>
  <c r="N33" i="80" l="1"/>
  <c r="AJ37" i="101"/>
  <c r="AK37" i="101" s="1"/>
  <c r="AL37" i="101" s="1"/>
  <c r="AS37" i="101" s="1"/>
  <c r="N33" i="110" s="1"/>
  <c r="O33" i="110" s="1"/>
  <c r="G37" i="110"/>
  <c r="H33" i="80"/>
  <c r="L33" i="110"/>
  <c r="AG38" i="101"/>
  <c r="AH38" i="101" s="1"/>
  <c r="K34" i="110"/>
  <c r="K39" i="101"/>
  <c r="V39" i="101" s="1"/>
  <c r="I35" i="110"/>
  <c r="Q32" i="80"/>
  <c r="R39" i="101"/>
  <c r="Q39" i="101"/>
  <c r="I40" i="101"/>
  <c r="H36" i="110" s="1"/>
  <c r="E36" i="110"/>
  <c r="C41" i="101"/>
  <c r="D41" i="101" s="1"/>
  <c r="H41" i="101"/>
  <c r="AO38" i="101"/>
  <c r="AR38" i="101" s="1"/>
  <c r="M34" i="110" s="1"/>
  <c r="F38" i="110"/>
  <c r="S41" i="101"/>
  <c r="Q33" i="80"/>
  <c r="W39" i="101" l="1"/>
  <c r="AI38" i="101"/>
  <c r="AJ38" i="101" s="1"/>
  <c r="AK38" i="101" s="1"/>
  <c r="AL38" i="101" s="1"/>
  <c r="L34" i="110" s="1"/>
  <c r="AB39" i="101"/>
  <c r="D34" i="80"/>
  <c r="U39" i="101"/>
  <c r="AD39" i="101"/>
  <c r="J35" i="110"/>
  <c r="Y39" i="101"/>
  <c r="Z39" i="101"/>
  <c r="AP39" i="101"/>
  <c r="AQ39" i="101"/>
  <c r="C37" i="110"/>
  <c r="D37" i="110"/>
  <c r="T39" i="101"/>
  <c r="C36" i="80"/>
  <c r="E41" i="101"/>
  <c r="J40" i="101"/>
  <c r="P40" i="101"/>
  <c r="L40" i="101"/>
  <c r="M40" i="101" s="1"/>
  <c r="X39" i="101" l="1"/>
  <c r="G38" i="110"/>
  <c r="AA39" i="101"/>
  <c r="K40" i="101"/>
  <c r="V40" i="101" s="1"/>
  <c r="I36" i="110"/>
  <c r="P35" i="110"/>
  <c r="Q35" i="110" s="1"/>
  <c r="R35" i="110" s="1"/>
  <c r="AC39" i="101"/>
  <c r="AM39" i="101"/>
  <c r="AE39" i="101"/>
  <c r="E34" i="80" s="1"/>
  <c r="F34" i="80" s="1"/>
  <c r="G34" i="80" s="1"/>
  <c r="K34" i="80" s="1"/>
  <c r="Q40" i="101"/>
  <c r="R40" i="101"/>
  <c r="I41" i="101"/>
  <c r="H37" i="110" s="1"/>
  <c r="E37" i="110"/>
  <c r="C42" i="101"/>
  <c r="D42" i="101" s="1"/>
  <c r="H42" i="101"/>
  <c r="AS38" i="101"/>
  <c r="N34" i="110" s="1"/>
  <c r="O34" i="110" s="1"/>
  <c r="F39" i="110"/>
  <c r="S42" i="101"/>
  <c r="AB40" i="101" l="1"/>
  <c r="U40" i="101"/>
  <c r="W40" i="101"/>
  <c r="X40" i="101" s="1"/>
  <c r="AG39" i="101"/>
  <c r="K35" i="110"/>
  <c r="D35" i="80"/>
  <c r="J36" i="110"/>
  <c r="AD40" i="101"/>
  <c r="AE40" i="101" s="1"/>
  <c r="E35" i="80" s="1"/>
  <c r="F35" i="80" s="1"/>
  <c r="G35" i="80" s="1"/>
  <c r="N35" i="80" s="1"/>
  <c r="AQ40" i="101"/>
  <c r="AO39" i="101"/>
  <c r="AR39" i="101" s="1"/>
  <c r="M35" i="110" s="1"/>
  <c r="Z40" i="101"/>
  <c r="Y40" i="101"/>
  <c r="AP40" i="101"/>
  <c r="H34" i="80"/>
  <c r="N34" i="80"/>
  <c r="C38" i="110"/>
  <c r="D38" i="110"/>
  <c r="L41" i="101"/>
  <c r="M41" i="101" s="1"/>
  <c r="J41" i="101"/>
  <c r="P41" i="101"/>
  <c r="T40" i="101"/>
  <c r="E42" i="101"/>
  <c r="C37" i="80"/>
  <c r="G39" i="110" l="1"/>
  <c r="AM40" i="101"/>
  <c r="AA40" i="101"/>
  <c r="P36" i="110"/>
  <c r="Q36" i="110" s="1"/>
  <c r="R36" i="110" s="1"/>
  <c r="Q34" i="80"/>
  <c r="K35" i="80"/>
  <c r="K41" i="101"/>
  <c r="U41" i="101" s="1"/>
  <c r="I37" i="110"/>
  <c r="H35" i="80"/>
  <c r="AH39" i="101"/>
  <c r="AI39" i="101"/>
  <c r="AC40" i="101"/>
  <c r="AO40" i="101" s="1"/>
  <c r="AR40" i="101" s="1"/>
  <c r="M36" i="110" s="1"/>
  <c r="I42" i="101"/>
  <c r="H38" i="110" s="1"/>
  <c r="E38" i="110"/>
  <c r="R41" i="101"/>
  <c r="Q41" i="101"/>
  <c r="C43" i="101"/>
  <c r="D43" i="101" s="1"/>
  <c r="H43" i="101"/>
  <c r="F40" i="110"/>
  <c r="S43" i="101"/>
  <c r="AB41" i="101" l="1"/>
  <c r="AQ41" i="101"/>
  <c r="AP41" i="101"/>
  <c r="Q35" i="80"/>
  <c r="Y41" i="101"/>
  <c r="D36" i="80"/>
  <c r="W41" i="101"/>
  <c r="AJ39" i="101"/>
  <c r="AK39" i="101" s="1"/>
  <c r="AL39" i="101" s="1"/>
  <c r="V41" i="101"/>
  <c r="J37" i="110"/>
  <c r="AD41" i="101"/>
  <c r="AE41" i="101" s="1"/>
  <c r="E36" i="80" s="1"/>
  <c r="AG40" i="101"/>
  <c r="K36" i="110"/>
  <c r="Z41" i="101"/>
  <c r="AA41" i="101" s="1"/>
  <c r="C39" i="110"/>
  <c r="T41" i="101"/>
  <c r="C38" i="80"/>
  <c r="E43" i="101"/>
  <c r="D39" i="110"/>
  <c r="J42" i="101"/>
  <c r="P42" i="101"/>
  <c r="L42" i="101"/>
  <c r="M42" i="101" s="1"/>
  <c r="G40" i="110"/>
  <c r="X41" i="101" l="1"/>
  <c r="AC41" i="101" s="1"/>
  <c r="AG41" i="101" s="1"/>
  <c r="AH41" i="101" s="1"/>
  <c r="F36" i="80"/>
  <c r="G36" i="80" s="1"/>
  <c r="N36" i="80" s="1"/>
  <c r="L35" i="110"/>
  <c r="AS39" i="101"/>
  <c r="N35" i="110" s="1"/>
  <c r="O35" i="110" s="1"/>
  <c r="AM41" i="101"/>
  <c r="K36" i="80"/>
  <c r="H36" i="80"/>
  <c r="Q36" i="80" s="1"/>
  <c r="AI40" i="101"/>
  <c r="AH40" i="101"/>
  <c r="P37" i="110"/>
  <c r="Q37" i="110" s="1"/>
  <c r="R37" i="110" s="1"/>
  <c r="K42" i="101"/>
  <c r="Z42" i="101" s="1"/>
  <c r="I38" i="110"/>
  <c r="W42" i="101"/>
  <c r="U42" i="101"/>
  <c r="Y42" i="101"/>
  <c r="Q42" i="101"/>
  <c r="R42" i="101"/>
  <c r="I43" i="101"/>
  <c r="H39" i="110" s="1"/>
  <c r="E39" i="110"/>
  <c r="C44" i="101"/>
  <c r="D44" i="101" s="1"/>
  <c r="H44" i="101"/>
  <c r="S44" i="101"/>
  <c r="AA42" i="101" l="1"/>
  <c r="V42" i="101"/>
  <c r="AJ40" i="101"/>
  <c r="AK40" i="101" s="1"/>
  <c r="AL40" i="101" s="1"/>
  <c r="L36" i="110" s="1"/>
  <c r="AB42" i="101"/>
  <c r="J38" i="110"/>
  <c r="AD42" i="101"/>
  <c r="AP42" i="101"/>
  <c r="AO41" i="101"/>
  <c r="AR41" i="101" s="1"/>
  <c r="M37" i="110" s="1"/>
  <c r="K37" i="110"/>
  <c r="D37" i="80"/>
  <c r="AQ42" i="101"/>
  <c r="D40" i="110"/>
  <c r="X42" i="101"/>
  <c r="C39" i="80"/>
  <c r="AI41" i="101"/>
  <c r="AJ41" i="101" s="1"/>
  <c r="AK41" i="101" s="1"/>
  <c r="AL41" i="101" s="1"/>
  <c r="J43" i="101"/>
  <c r="L43" i="101"/>
  <c r="M43" i="101" s="1"/>
  <c r="P43" i="101"/>
  <c r="T42" i="101"/>
  <c r="E44" i="101"/>
  <c r="C40" i="110"/>
  <c r="AS40" i="101" l="1"/>
  <c r="N36" i="110" s="1"/>
  <c r="O36" i="110" s="1"/>
  <c r="AE42" i="101"/>
  <c r="E37" i="80" s="1"/>
  <c r="F37" i="80" s="1"/>
  <c r="G37" i="80" s="1"/>
  <c r="AM42" i="101"/>
  <c r="AS41" i="101"/>
  <c r="N37" i="110" s="1"/>
  <c r="O37" i="110" s="1"/>
  <c r="L37" i="110"/>
  <c r="P38" i="110"/>
  <c r="Q38" i="110" s="1"/>
  <c r="R38" i="110" s="1"/>
  <c r="K43" i="101"/>
  <c r="Y43" i="101" s="1"/>
  <c r="I39" i="110"/>
  <c r="AC42" i="101"/>
  <c r="I44" i="101"/>
  <c r="H40" i="110" s="1"/>
  <c r="E40" i="110"/>
  <c r="Q43" i="101"/>
  <c r="R43" i="101"/>
  <c r="U43" i="101" l="1"/>
  <c r="AP43" i="101"/>
  <c r="D38" i="80"/>
  <c r="W43" i="101"/>
  <c r="Z43" i="101"/>
  <c r="AA43" i="101" s="1"/>
  <c r="V43" i="101"/>
  <c r="AQ43" i="101"/>
  <c r="AD43" i="101"/>
  <c r="AE43" i="101" s="1"/>
  <c r="E38" i="80" s="1"/>
  <c r="F38" i="80" s="1"/>
  <c r="G38" i="80" s="1"/>
  <c r="N38" i="80" s="1"/>
  <c r="K37" i="80"/>
  <c r="N37" i="80"/>
  <c r="H37" i="80"/>
  <c r="AG42" i="101"/>
  <c r="K38" i="110"/>
  <c r="AO42" i="101"/>
  <c r="AR42" i="101" s="1"/>
  <c r="M38" i="110" s="1"/>
  <c r="AB43" i="101"/>
  <c r="J39" i="110"/>
  <c r="T43" i="101"/>
  <c r="L44" i="101"/>
  <c r="M44" i="101" s="1"/>
  <c r="J44" i="101"/>
  <c r="P44" i="101"/>
  <c r="X43" i="101" l="1"/>
  <c r="K38" i="80"/>
  <c r="H38" i="80"/>
  <c r="Q37" i="80"/>
  <c r="AM43" i="101"/>
  <c r="P39" i="110"/>
  <c r="Q39" i="110" s="1"/>
  <c r="R39" i="110" s="1"/>
  <c r="K44" i="101"/>
  <c r="Z44" i="101" s="1"/>
  <c r="I40" i="110"/>
  <c r="AH42" i="101"/>
  <c r="AI42" i="101"/>
  <c r="AC43" i="101"/>
  <c r="R44" i="101"/>
  <c r="Q44" i="101"/>
  <c r="Q38" i="80"/>
  <c r="V44" i="101" l="1"/>
  <c r="D39" i="80"/>
  <c r="AD44" i="101"/>
  <c r="AM44" i="101" s="1"/>
  <c r="Y44" i="101"/>
  <c r="AA44" i="101" s="1"/>
  <c r="AB44" i="101"/>
  <c r="AP44" i="101"/>
  <c r="U44" i="101"/>
  <c r="W44" i="101"/>
  <c r="AJ42" i="101"/>
  <c r="AK42" i="101" s="1"/>
  <c r="AL42" i="101" s="1"/>
  <c r="AG43" i="101"/>
  <c r="AI43" i="101" s="1"/>
  <c r="K39" i="110"/>
  <c r="AQ44" i="101"/>
  <c r="J40" i="110"/>
  <c r="P40" i="110" s="1"/>
  <c r="Q40" i="110" s="1"/>
  <c r="R40" i="110" s="1"/>
  <c r="AO43" i="101"/>
  <c r="AR43" i="101" s="1"/>
  <c r="M39" i="110" s="1"/>
  <c r="AH43" i="101"/>
  <c r="AJ43" i="101" s="1"/>
  <c r="AK43" i="101" s="1"/>
  <c r="AL43" i="101" s="1"/>
  <c r="T44" i="101"/>
  <c r="X44" i="101" l="1"/>
  <c r="AE44" i="101"/>
  <c r="E39" i="80" s="1"/>
  <c r="F39" i="80" s="1"/>
  <c r="G39" i="80" s="1"/>
  <c r="H39" i="80" s="1"/>
  <c r="AS43" i="101"/>
  <c r="N39" i="110" s="1"/>
  <c r="O39" i="110" s="1"/>
  <c r="L39" i="110"/>
  <c r="N39" i="80"/>
  <c r="AC44" i="101"/>
  <c r="AG44" i="101" s="1"/>
  <c r="AI44" i="101" s="1"/>
  <c r="L38" i="110"/>
  <c r="AS42" i="101"/>
  <c r="N38" i="110" s="1"/>
  <c r="O38" i="110" s="1"/>
  <c r="K39" i="80" l="1"/>
  <c r="Q39" i="80" s="1"/>
  <c r="AO44" i="101"/>
  <c r="AR44" i="101" s="1"/>
  <c r="M40" i="110" s="1"/>
  <c r="K40" i="110"/>
  <c r="AH44" i="101"/>
  <c r="AJ44" i="101" s="1"/>
  <c r="AK44" i="101" s="1"/>
  <c r="AL44" i="101" s="1"/>
  <c r="L40" i="110" s="1"/>
  <c r="AS44" i="101" l="1"/>
  <c r="N40" i="110" s="1"/>
  <c r="O40" i="110" s="1"/>
</calcChain>
</file>

<file path=xl/sharedStrings.xml><?xml version="1.0" encoding="utf-8"?>
<sst xmlns="http://schemas.openxmlformats.org/spreadsheetml/2006/main" count="663" uniqueCount="398">
  <si>
    <t>標準報酬月額</t>
    <rPh sb="0" eb="2">
      <t>ヒョウジュン</t>
    </rPh>
    <rPh sb="2" eb="4">
      <t>ホウシュウ</t>
    </rPh>
    <rPh sb="4" eb="6">
      <t>ゲツガク</t>
    </rPh>
    <phoneticPr fontId="3"/>
  </si>
  <si>
    <t>標準報酬</t>
  </si>
  <si>
    <t xml:space="preserve"> 等級</t>
  </si>
  <si>
    <t>月額</t>
  </si>
  <si>
    <t>報酬月額</t>
  </si>
  <si>
    <t>健康保険</t>
  </si>
  <si>
    <t>うち</t>
  </si>
  <si>
    <t>厚生年金</t>
  </si>
  <si>
    <t>健</t>
  </si>
  <si>
    <t>厚</t>
  </si>
  <si>
    <t>介護なし</t>
  </si>
  <si>
    <t>介護あり</t>
  </si>
  <si>
    <t>介護保険</t>
  </si>
  <si>
    <t>一般</t>
  </si>
  <si>
    <t>以上</t>
  </si>
  <si>
    <t>未満</t>
  </si>
  <si>
    <t>参照セル</t>
    <rPh sb="0" eb="2">
      <t>サンショウ</t>
    </rPh>
    <phoneticPr fontId="3"/>
  </si>
  <si>
    <t>標準
報酬額月額</t>
    <rPh sb="0" eb="2">
      <t>ヒョウジュン</t>
    </rPh>
    <rPh sb="3" eb="6">
      <t>ホウシュウガク</t>
    </rPh>
    <rPh sb="6" eb="8">
      <t>ゲツガク</t>
    </rPh>
    <phoneticPr fontId="3"/>
  </si>
  <si>
    <t>Ｎｏ．</t>
    <phoneticPr fontId="3"/>
  </si>
  <si>
    <t>年齢</t>
    <rPh sb="0" eb="2">
      <t>ネンレイ</t>
    </rPh>
    <phoneticPr fontId="3"/>
  </si>
  <si>
    <t>税率</t>
    <rPh sb="0" eb="2">
      <t>ゼイリツ</t>
    </rPh>
    <phoneticPr fontId="3"/>
  </si>
  <si>
    <t>保険料率</t>
    <rPh sb="0" eb="3">
      <t>ホケンリョウ</t>
    </rPh>
    <rPh sb="3" eb="4">
      <t>リツ</t>
    </rPh>
    <phoneticPr fontId="3"/>
  </si>
  <si>
    <t>（注）上記端数計算は、四捨五入処理をしています。</t>
    <rPh sb="1" eb="2">
      <t>チュウ</t>
    </rPh>
    <rPh sb="3" eb="5">
      <t>ジョウキ</t>
    </rPh>
    <rPh sb="5" eb="7">
      <t>ハスウ</t>
    </rPh>
    <rPh sb="7" eb="9">
      <t>ケイサン</t>
    </rPh>
    <rPh sb="11" eb="15">
      <t>シシャゴニュウ</t>
    </rPh>
    <rPh sb="15" eb="17">
      <t>ショリ</t>
    </rPh>
    <phoneticPr fontId="3"/>
  </si>
  <si>
    <t>標準報酬月額・保険料表</t>
    <phoneticPr fontId="3"/>
  </si>
  <si>
    <t>保険料（被保険者負担分）２分の１処理</t>
    <rPh sb="13" eb="14">
      <t>ブン</t>
    </rPh>
    <rPh sb="16" eb="18">
      <t>ショリ</t>
    </rPh>
    <phoneticPr fontId="3"/>
  </si>
  <si>
    <t>＜メイン参照データ＞</t>
    <rPh sb="4" eb="6">
      <t>サンショウ</t>
    </rPh>
    <phoneticPr fontId="3"/>
  </si>
  <si>
    <t>全て自動処理</t>
    <rPh sb="0" eb="1">
      <t>ゼン</t>
    </rPh>
    <rPh sb="2" eb="4">
      <t>ジドウ</t>
    </rPh>
    <rPh sb="4" eb="6">
      <t>ショリ</t>
    </rPh>
    <phoneticPr fontId="3"/>
  </si>
  <si>
    <t>給与月額</t>
    <rPh sb="0" eb="2">
      <t>キュウヨ</t>
    </rPh>
    <rPh sb="2" eb="4">
      <t>ゲツガク</t>
    </rPh>
    <phoneticPr fontId="3"/>
  </si>
  <si>
    <t>青字＝入力セル</t>
    <rPh sb="0" eb="1">
      <t>アオ</t>
    </rPh>
    <rPh sb="1" eb="2">
      <t>ジ</t>
    </rPh>
    <rPh sb="3" eb="5">
      <t>ニュウリョク</t>
    </rPh>
    <phoneticPr fontId="3"/>
  </si>
  <si>
    <t>黒字＝自動計算セル</t>
    <rPh sb="0" eb="2">
      <t>クロジ</t>
    </rPh>
    <rPh sb="3" eb="5">
      <t>ジドウ</t>
    </rPh>
    <rPh sb="5" eb="7">
      <t>ケイサン</t>
    </rPh>
    <phoneticPr fontId="3"/>
  </si>
  <si>
    <t>入力画面</t>
    <rPh sb="0" eb="2">
      <t>ニュウリョク</t>
    </rPh>
    <rPh sb="2" eb="4">
      <t>ガメン</t>
    </rPh>
    <phoneticPr fontId="3"/>
  </si>
  <si>
    <t>＜参照表＞</t>
    <rPh sb="1" eb="3">
      <t>サンショウ</t>
    </rPh>
    <rPh sb="3" eb="4">
      <t>ヒョウ</t>
    </rPh>
    <phoneticPr fontId="3"/>
  </si>
  <si>
    <t>雇用保険料率</t>
    <rPh sb="0" eb="2">
      <t>コヨウ</t>
    </rPh>
    <rPh sb="2" eb="5">
      <t>ホケンリョウ</t>
    </rPh>
    <rPh sb="5" eb="6">
      <t>リツ</t>
    </rPh>
    <phoneticPr fontId="3"/>
  </si>
  <si>
    <t>様</t>
    <rPh sb="0" eb="1">
      <t>サマ</t>
    </rPh>
    <phoneticPr fontId="3"/>
  </si>
  <si>
    <t>介護保険料</t>
    <rPh sb="0" eb="2">
      <t>カイゴ</t>
    </rPh>
    <rPh sb="2" eb="5">
      <t>ホケンリョウ</t>
    </rPh>
    <phoneticPr fontId="3"/>
  </si>
  <si>
    <t>厚生年金</t>
    <rPh sb="0" eb="2">
      <t>コウセイ</t>
    </rPh>
    <rPh sb="2" eb="4">
      <t>ネンキン</t>
    </rPh>
    <phoneticPr fontId="3"/>
  </si>
  <si>
    <t>このソフトウェアは次のことを確認の上、自己責任でお使い下さい！</t>
    <rPh sb="9" eb="10">
      <t>ツギ</t>
    </rPh>
    <rPh sb="14" eb="16">
      <t>カクニン</t>
    </rPh>
    <rPh sb="17" eb="18">
      <t>ウエ</t>
    </rPh>
    <rPh sb="19" eb="21">
      <t>ジコ</t>
    </rPh>
    <rPh sb="21" eb="23">
      <t>セキニン</t>
    </rPh>
    <rPh sb="25" eb="26">
      <t>ツカ</t>
    </rPh>
    <rPh sb="27" eb="28">
      <t>クダ</t>
    </rPh>
    <phoneticPr fontId="3"/>
  </si>
  <si>
    <t>１．免責について</t>
    <rPh sb="2" eb="4">
      <t>メンセキ</t>
    </rPh>
    <phoneticPr fontId="3"/>
  </si>
  <si>
    <t>　あなたがこのソフトウェアをご利用になることで生じたいかなる損害に対しても、</t>
    <rPh sb="23" eb="24">
      <t>ショウ</t>
    </rPh>
    <rPh sb="30" eb="32">
      <t>ソンガイ</t>
    </rPh>
    <rPh sb="33" eb="34">
      <t>タイ</t>
    </rPh>
    <phoneticPr fontId="3"/>
  </si>
  <si>
    <t>当方は一切の補償はいたしません。</t>
    <rPh sb="0" eb="2">
      <t>トウホウ</t>
    </rPh>
    <rPh sb="3" eb="5">
      <t>イッサイ</t>
    </rPh>
    <rPh sb="6" eb="8">
      <t>ホショウ</t>
    </rPh>
    <phoneticPr fontId="3"/>
  </si>
  <si>
    <t>　このことを了解の上、利用者の責任でご使用下さい。</t>
    <rPh sb="6" eb="8">
      <t>リョウカイ</t>
    </rPh>
    <rPh sb="9" eb="10">
      <t>ウエ</t>
    </rPh>
    <rPh sb="11" eb="14">
      <t>リヨウシャ</t>
    </rPh>
    <rPh sb="15" eb="17">
      <t>セキニン</t>
    </rPh>
    <rPh sb="19" eb="21">
      <t>シヨウ</t>
    </rPh>
    <rPh sb="21" eb="22">
      <t>クダ</t>
    </rPh>
    <phoneticPr fontId="3"/>
  </si>
  <si>
    <t>３．第三者への配布禁止</t>
    <rPh sb="2" eb="5">
      <t>ダイサンシャ</t>
    </rPh>
    <rPh sb="7" eb="9">
      <t>ハイフ</t>
    </rPh>
    <rPh sb="9" eb="11">
      <t>キンシ</t>
    </rPh>
    <phoneticPr fontId="3"/>
  </si>
  <si>
    <t>　このソフトウェアを複製して第三者に配布することは禁止いたします。</t>
    <rPh sb="10" eb="12">
      <t>フクセイ</t>
    </rPh>
    <rPh sb="14" eb="17">
      <t>ダイサンシャ</t>
    </rPh>
    <rPh sb="18" eb="20">
      <t>ハイフ</t>
    </rPh>
    <rPh sb="25" eb="27">
      <t>キンシ</t>
    </rPh>
    <phoneticPr fontId="3"/>
  </si>
  <si>
    <t>横井人事労務サポート事務所</t>
    <rPh sb="0" eb="2">
      <t>ヨコイ</t>
    </rPh>
    <rPh sb="2" eb="4">
      <t>ジンジ</t>
    </rPh>
    <rPh sb="4" eb="6">
      <t>ロウム</t>
    </rPh>
    <rPh sb="10" eb="13">
      <t>ジムショ</t>
    </rPh>
    <phoneticPr fontId="3"/>
  </si>
  <si>
    <t>　　横　井　明　徳</t>
    <rPh sb="2" eb="3">
      <t>ヨコ</t>
    </rPh>
    <rPh sb="4" eb="5">
      <t>セイ</t>
    </rPh>
    <rPh sb="6" eb="7">
      <t>メイ</t>
    </rPh>
    <rPh sb="8" eb="9">
      <t>トク</t>
    </rPh>
    <phoneticPr fontId="3"/>
  </si>
  <si>
    <t>以上</t>
    <rPh sb="0" eb="2">
      <t>イジョウ</t>
    </rPh>
    <phoneticPr fontId="3"/>
  </si>
  <si>
    <t>＋</t>
    <phoneticPr fontId="3"/>
  </si>
  <si>
    <t>所得税</t>
    <rPh sb="0" eb="3">
      <t>ショトクゼイ</t>
    </rPh>
    <phoneticPr fontId="3"/>
  </si>
  <si>
    <t>時間給</t>
    <rPh sb="0" eb="3">
      <t>ジカンキュウ</t>
    </rPh>
    <phoneticPr fontId="3"/>
  </si>
  <si>
    <t>週所定労働時間</t>
    <rPh sb="0" eb="1">
      <t>シュウ</t>
    </rPh>
    <rPh sb="1" eb="7">
      <t>ショテイロウドウジカン</t>
    </rPh>
    <phoneticPr fontId="3"/>
  </si>
  <si>
    <t>以上</t>
    <phoneticPr fontId="3"/>
  </si>
  <si>
    <t>（注）健康保険料率は、平成21年9月から都道府県単位に設定されています（上記は大阪府の例）。</t>
    <rPh sb="1" eb="2">
      <t>チュウ</t>
    </rPh>
    <rPh sb="3" eb="5">
      <t>ケンコウ</t>
    </rPh>
    <rPh sb="5" eb="7">
      <t>ホケン</t>
    </rPh>
    <rPh sb="7" eb="8">
      <t>リョウ</t>
    </rPh>
    <rPh sb="8" eb="9">
      <t>リツ</t>
    </rPh>
    <rPh sb="11" eb="13">
      <t>ヘイセイ</t>
    </rPh>
    <rPh sb="15" eb="16">
      <t>ネン</t>
    </rPh>
    <rPh sb="17" eb="18">
      <t>ガツ</t>
    </rPh>
    <rPh sb="20" eb="24">
      <t>トドウフケン</t>
    </rPh>
    <rPh sb="24" eb="26">
      <t>タンイ</t>
    </rPh>
    <rPh sb="27" eb="29">
      <t>セッテイ</t>
    </rPh>
    <rPh sb="36" eb="38">
      <t>ジョウキ</t>
    </rPh>
    <rPh sb="39" eb="41">
      <t>オオサカ</t>
    </rPh>
    <rPh sb="41" eb="42">
      <t>フ</t>
    </rPh>
    <rPh sb="43" eb="44">
      <t>レイ</t>
    </rPh>
    <phoneticPr fontId="3"/>
  </si>
  <si>
    <t>（令和５年３月１日現在）</t>
    <rPh sb="1" eb="3">
      <t>レイワ</t>
    </rPh>
    <phoneticPr fontId="3"/>
  </si>
  <si>
    <t>給与等の収入金額</t>
    <rPh sb="0" eb="3">
      <t>キュウヨトウ</t>
    </rPh>
    <rPh sb="4" eb="8">
      <t>シュウニュウキンガク</t>
    </rPh>
    <phoneticPr fontId="3"/>
  </si>
  <si>
    <t>給与所得控除額</t>
    <rPh sb="0" eb="4">
      <t>キュウヨショトク</t>
    </rPh>
    <rPh sb="4" eb="6">
      <t>コウジョ</t>
    </rPh>
    <rPh sb="6" eb="7">
      <t>ガク</t>
    </rPh>
    <phoneticPr fontId="3"/>
  </si>
  <si>
    <t>迄</t>
    <rPh sb="0" eb="1">
      <t>マデ</t>
    </rPh>
    <phoneticPr fontId="3"/>
  </si>
  <si>
    <t>上限</t>
    <rPh sb="0" eb="2">
      <t>ジョウゲン</t>
    </rPh>
    <phoneticPr fontId="3"/>
  </si>
  <si>
    <t>基礎控除額</t>
    <rPh sb="0" eb="5">
      <t>キソコウジョガク</t>
    </rPh>
    <phoneticPr fontId="3"/>
  </si>
  <si>
    <t>×</t>
    <phoneticPr fontId="3"/>
  </si>
  <si>
    <t>※2400万円以下</t>
    <rPh sb="5" eb="6">
      <t>マン</t>
    </rPh>
    <rPh sb="6" eb="7">
      <t>エン</t>
    </rPh>
    <rPh sb="7" eb="9">
      <t>イカ</t>
    </rPh>
    <phoneticPr fontId="3"/>
  </si>
  <si>
    <r>
      <t>　　　※</t>
    </r>
    <r>
      <rPr>
        <b/>
        <u/>
        <sz val="11"/>
        <color theme="1"/>
        <rFont val="ＭＳ Ｐゴシック"/>
        <family val="3"/>
        <charset val="128"/>
      </rPr>
      <t>８５０万×0.1＋１１０万＝１９５万円</t>
    </r>
    <rPh sb="6" eb="7">
      <t>マン</t>
    </rPh>
    <rPh sb="13" eb="14">
      <t>マン</t>
    </rPh>
    <rPh sb="18" eb="19">
      <t>マン</t>
    </rPh>
    <rPh sb="19" eb="20">
      <t>エン</t>
    </rPh>
    <phoneticPr fontId="3"/>
  </si>
  <si>
    <t>　給与所得</t>
    <rPh sb="1" eb="5">
      <t>キュウヨショトク</t>
    </rPh>
    <phoneticPr fontId="3"/>
  </si>
  <si>
    <t>－</t>
    <phoneticPr fontId="3"/>
  </si>
  <si>
    <t>所得税計算の基礎となる所得</t>
    <rPh sb="0" eb="3">
      <t>ショトクゼイ</t>
    </rPh>
    <rPh sb="3" eb="5">
      <t>ケイサン</t>
    </rPh>
    <rPh sb="6" eb="8">
      <t>キソ</t>
    </rPh>
    <rPh sb="11" eb="13">
      <t>ショトク</t>
    </rPh>
    <phoneticPr fontId="3"/>
  </si>
  <si>
    <t>都府県民税</t>
    <rPh sb="0" eb="1">
      <t>ト</t>
    </rPh>
    <rPh sb="1" eb="2">
      <t>フ</t>
    </rPh>
    <rPh sb="2" eb="4">
      <t>ケンミン</t>
    </rPh>
    <rPh sb="4" eb="5">
      <t>ゼイ</t>
    </rPh>
    <phoneticPr fontId="3"/>
  </si>
  <si>
    <t>均等割</t>
    <rPh sb="0" eb="2">
      <t>キントウ</t>
    </rPh>
    <rPh sb="2" eb="3">
      <t>ワ</t>
    </rPh>
    <phoneticPr fontId="3"/>
  </si>
  <si>
    <t>所得割</t>
    <rPh sb="0" eb="3">
      <t>ショトクワリ</t>
    </rPh>
    <phoneticPr fontId="3"/>
  </si>
  <si>
    <t>区・市民税</t>
    <rPh sb="0" eb="1">
      <t>ク</t>
    </rPh>
    <rPh sb="2" eb="5">
      <t>シミンゼイ</t>
    </rPh>
    <phoneticPr fontId="3"/>
  </si>
  <si>
    <t>都道府県</t>
    <rPh sb="0" eb="4">
      <t>トドウフケン</t>
    </rPh>
    <phoneticPr fontId="3"/>
  </si>
  <si>
    <t>区・市町村</t>
    <rPh sb="0" eb="1">
      <t>ク</t>
    </rPh>
    <rPh sb="2" eb="5">
      <t>シチョウソン</t>
    </rPh>
    <phoneticPr fontId="3"/>
  </si>
  <si>
    <t>作成日</t>
  </si>
  <si>
    <t>算定基準日▼</t>
    <phoneticPr fontId="3"/>
  </si>
  <si>
    <t>No.</t>
    <phoneticPr fontId="3"/>
  </si>
  <si>
    <t>男=1</t>
  </si>
  <si>
    <t>勤続</t>
    <rPh sb="0" eb="2">
      <t>キンゾク</t>
    </rPh>
    <phoneticPr fontId="3"/>
  </si>
  <si>
    <t>女=2</t>
  </si>
  <si>
    <t>年</t>
    <rPh sb="0" eb="1">
      <t>ネン</t>
    </rPh>
    <phoneticPr fontId="3"/>
  </si>
  <si>
    <t>月</t>
    <rPh sb="0" eb="1">
      <t>ツキ</t>
    </rPh>
    <phoneticPr fontId="3"/>
  </si>
  <si>
    <t>入社年月日</t>
    <rPh sb="0" eb="2">
      <t>ニュウシャ</t>
    </rPh>
    <rPh sb="2" eb="5">
      <t>ネンガッピ</t>
    </rPh>
    <phoneticPr fontId="3"/>
  </si>
  <si>
    <t>従業員番号</t>
    <rPh sb="0" eb="3">
      <t>ジュウギョウイン</t>
    </rPh>
    <rPh sb="3" eb="5">
      <t>バンゴウ</t>
    </rPh>
    <phoneticPr fontId="3"/>
  </si>
  <si>
    <t>標準報酬月額</t>
    <rPh sb="0" eb="2">
      <t>ヒョウジュン</t>
    </rPh>
    <rPh sb="2" eb="6">
      <t>ホウシュウゲツガク</t>
    </rPh>
    <phoneticPr fontId="3"/>
  </si>
  <si>
    <t>均等割</t>
    <rPh sb="0" eb="3">
      <t>キントウワ</t>
    </rPh>
    <phoneticPr fontId="3"/>
  </si>
  <si>
    <t>チェック</t>
    <phoneticPr fontId="3"/>
  </si>
  <si>
    <t>（令和５年４月１日現在）</t>
    <rPh sb="1" eb="3">
      <t>レイワ</t>
    </rPh>
    <phoneticPr fontId="3"/>
  </si>
  <si>
    <t>雇用保険料</t>
    <rPh sb="0" eb="2">
      <t>コヨウ</t>
    </rPh>
    <rPh sb="2" eb="5">
      <t>ホケンリョウ</t>
    </rPh>
    <phoneticPr fontId="3"/>
  </si>
  <si>
    <t>給与所得控除額</t>
    <rPh sb="0" eb="2">
      <t>キュウヨ</t>
    </rPh>
    <rPh sb="2" eb="6">
      <t>ショトクコウジョ</t>
    </rPh>
    <rPh sb="6" eb="7">
      <t>ガク</t>
    </rPh>
    <phoneticPr fontId="3"/>
  </si>
  <si>
    <t>速算控除</t>
    <rPh sb="0" eb="2">
      <t>ソクサン</t>
    </rPh>
    <rPh sb="2" eb="4">
      <t>コウジョ</t>
    </rPh>
    <phoneticPr fontId="3"/>
  </si>
  <si>
    <t>所得税率</t>
    <rPh sb="0" eb="2">
      <t>ショトク</t>
    </rPh>
    <rPh sb="2" eb="4">
      <t>ゼイリツ</t>
    </rPh>
    <phoneticPr fontId="3"/>
  </si>
  <si>
    <t>速算控除額</t>
    <rPh sb="0" eb="2">
      <t>ソクサン</t>
    </rPh>
    <rPh sb="2" eb="5">
      <t>コウジョガク</t>
    </rPh>
    <phoneticPr fontId="3"/>
  </si>
  <si>
    <t>給与所得の金額</t>
    <rPh sb="0" eb="2">
      <t>キュウヨ</t>
    </rPh>
    <rPh sb="2" eb="4">
      <t>ショトク</t>
    </rPh>
    <rPh sb="5" eb="7">
      <t>キンガク</t>
    </rPh>
    <phoneticPr fontId="3"/>
  </si>
  <si>
    <t>復興特別所得税</t>
    <phoneticPr fontId="3"/>
  </si>
  <si>
    <t xml:space="preserve">所得税・復興特別税	</t>
    <rPh sb="0" eb="3">
      <t>ショトクゼイ</t>
    </rPh>
    <rPh sb="4" eb="6">
      <t>フッコウ</t>
    </rPh>
    <rPh sb="6" eb="8">
      <t>トクベツ</t>
    </rPh>
    <rPh sb="8" eb="9">
      <t>ゼイ</t>
    </rPh>
    <phoneticPr fontId="3"/>
  </si>
  <si>
    <t>年齢チェック</t>
    <rPh sb="0" eb="2">
      <t>ネンレイ</t>
    </rPh>
    <phoneticPr fontId="3"/>
  </si>
  <si>
    <t>厚生年金
保険料/月</t>
    <rPh sb="0" eb="2">
      <t>コウセイ</t>
    </rPh>
    <rPh sb="2" eb="4">
      <t>ネンキン</t>
    </rPh>
    <rPh sb="5" eb="8">
      <t>ホケンリョウ</t>
    </rPh>
    <rPh sb="9" eb="10">
      <t>ツキ</t>
    </rPh>
    <phoneticPr fontId="3"/>
  </si>
  <si>
    <t>健康保険料/月</t>
    <rPh sb="0" eb="2">
      <t>ケンコウ</t>
    </rPh>
    <rPh sb="2" eb="5">
      <t>ホケンリョウ</t>
    </rPh>
    <phoneticPr fontId="3"/>
  </si>
  <si>
    <t>健康保険料・介護保険料/月</t>
    <rPh sb="0" eb="2">
      <t>ケンコウ</t>
    </rPh>
    <rPh sb="2" eb="5">
      <t>ホケンリョウ</t>
    </rPh>
    <rPh sb="6" eb="11">
      <t>カイゴホケンリョウ</t>
    </rPh>
    <phoneticPr fontId="3"/>
  </si>
  <si>
    <t>住民税均等割</t>
    <rPh sb="0" eb="3">
      <t>ジュウミンゼイ</t>
    </rPh>
    <rPh sb="3" eb="6">
      <t>キントウワ</t>
    </rPh>
    <phoneticPr fontId="3"/>
  </si>
  <si>
    <t>住民税所得割</t>
    <rPh sb="0" eb="3">
      <t>ジュウミンゼイ</t>
    </rPh>
    <rPh sb="3" eb="6">
      <t>ショトクワリ</t>
    </rPh>
    <phoneticPr fontId="3"/>
  </si>
  <si>
    <t>住民税均等割</t>
    <rPh sb="0" eb="3">
      <t>ジュウミンゼイ</t>
    </rPh>
    <rPh sb="3" eb="6">
      <t>キントウワリ</t>
    </rPh>
    <phoneticPr fontId="3"/>
  </si>
  <si>
    <t>通勤手当</t>
    <rPh sb="0" eb="4">
      <t>ツウキンテアテ</t>
    </rPh>
    <phoneticPr fontId="3"/>
  </si>
  <si>
    <t>基本時間給</t>
    <rPh sb="0" eb="2">
      <t>キホン</t>
    </rPh>
    <rPh sb="2" eb="5">
      <t>ジカンキュウ</t>
    </rPh>
    <phoneticPr fontId="3"/>
  </si>
  <si>
    <t>年間見込み額</t>
    <rPh sb="0" eb="2">
      <t>ネンカン</t>
    </rPh>
    <rPh sb="2" eb="4">
      <t>ミコ</t>
    </rPh>
    <rPh sb="5" eb="6">
      <t>ガク</t>
    </rPh>
    <phoneticPr fontId="3"/>
  </si>
  <si>
    <t>月間見込み額</t>
    <rPh sb="0" eb="2">
      <t>ゲッカン</t>
    </rPh>
    <rPh sb="2" eb="4">
      <t>ミコ</t>
    </rPh>
    <rPh sb="5" eb="6">
      <t>ガク</t>
    </rPh>
    <phoneticPr fontId="3"/>
  </si>
  <si>
    <t>所定労働時間</t>
    <rPh sb="0" eb="2">
      <t>ショテイ</t>
    </rPh>
    <rPh sb="2" eb="4">
      <t>ロウドウ</t>
    </rPh>
    <rPh sb="4" eb="6">
      <t>ジカン</t>
    </rPh>
    <phoneticPr fontId="3"/>
  </si>
  <si>
    <t>役職手当</t>
    <rPh sb="0" eb="2">
      <t>ヤクショク</t>
    </rPh>
    <rPh sb="2" eb="4">
      <t>テアテ</t>
    </rPh>
    <phoneticPr fontId="3"/>
  </si>
  <si>
    <t>社会保険</t>
    <rPh sb="0" eb="4">
      <t>シャカイホケン</t>
    </rPh>
    <phoneticPr fontId="3"/>
  </si>
  <si>
    <t>１ヵ月基本給与（月収）</t>
    <rPh sb="0" eb="3">
      <t>イッカゲツ</t>
    </rPh>
    <rPh sb="3" eb="5">
      <t>キホン</t>
    </rPh>
    <rPh sb="5" eb="7">
      <t>キュウヨ</t>
    </rPh>
    <rPh sb="8" eb="10">
      <t>ゲッシュウ</t>
    </rPh>
    <phoneticPr fontId="3"/>
  </si>
  <si>
    <t>雇用保険料</t>
    <rPh sb="0" eb="5">
      <t>コヨウホケンリョウ</t>
    </rPh>
    <phoneticPr fontId="3"/>
  </si>
  <si>
    <t>社会保険加入条件チェック</t>
    <rPh sb="0" eb="6">
      <t>シャカイホケンカニュウ</t>
    </rPh>
    <rPh sb="6" eb="8">
      <t>ジョウケン</t>
    </rPh>
    <phoneticPr fontId="3"/>
  </si>
  <si>
    <t>小計</t>
    <rPh sb="0" eb="2">
      <t>ショウケイ</t>
    </rPh>
    <phoneticPr fontId="3"/>
  </si>
  <si>
    <t>氏　　　　名</t>
    <rPh sb="0" eb="1">
      <t>シ</t>
    </rPh>
    <rPh sb="5" eb="6">
      <t>メイ</t>
    </rPh>
    <phoneticPr fontId="3"/>
  </si>
  <si>
    <r>
      <t>　　</t>
    </r>
    <r>
      <rPr>
        <b/>
        <u/>
        <sz val="12"/>
        <color rgb="FF0000CC"/>
        <rFont val="ＭＳ Ｐゴシック"/>
        <family val="3"/>
        <charset val="128"/>
      </rPr>
      <t>従業員番号を手入力します！</t>
    </r>
    <rPh sb="2" eb="5">
      <t>ジュウギョウイン</t>
    </rPh>
    <rPh sb="5" eb="7">
      <t>バンゴウ</t>
    </rPh>
    <rPh sb="8" eb="9">
      <t>テ</t>
    </rPh>
    <rPh sb="9" eb="10">
      <t>ジッテ</t>
    </rPh>
    <phoneticPr fontId="3"/>
  </si>
  <si>
    <t>雇用保険
時間チェック</t>
    <rPh sb="0" eb="2">
      <t>コヨウ</t>
    </rPh>
    <rPh sb="2" eb="4">
      <t>ホケン</t>
    </rPh>
    <rPh sb="5" eb="7">
      <t>ジカン</t>
    </rPh>
    <phoneticPr fontId="3"/>
  </si>
  <si>
    <t>※標準報酬算定には通勤手当を含む！</t>
    <rPh sb="1" eb="5">
      <t>ヒョウジュンホウシュウ</t>
    </rPh>
    <rPh sb="5" eb="7">
      <t>サンテイ</t>
    </rPh>
    <rPh sb="9" eb="13">
      <t>ツウキンテアテ</t>
    </rPh>
    <rPh sb="14" eb="15">
      <t>フク</t>
    </rPh>
    <phoneticPr fontId="3"/>
  </si>
  <si>
    <t>基礎控除額</t>
    <rPh sb="0" eb="2">
      <t>キソ</t>
    </rPh>
    <rPh sb="2" eb="4">
      <t>コウジョ</t>
    </rPh>
    <rPh sb="4" eb="5">
      <t>ガク</t>
    </rPh>
    <phoneticPr fontId="3"/>
  </si>
  <si>
    <t>住民税率</t>
    <rPh sb="3" eb="4">
      <t>リツ</t>
    </rPh>
    <phoneticPr fontId="3"/>
  </si>
  <si>
    <r>
      <t>　</t>
    </r>
    <r>
      <rPr>
        <u/>
        <sz val="18"/>
        <color rgb="FF0000CC"/>
        <rFont val="ＭＳ Ｐゴシック"/>
        <family val="3"/>
        <charset val="128"/>
      </rPr>
      <t>住民税計算</t>
    </r>
    <rPh sb="1" eb="4">
      <t>ジュウミンゼイ</t>
    </rPh>
    <rPh sb="4" eb="6">
      <t>ケイサン</t>
    </rPh>
    <phoneticPr fontId="3"/>
  </si>
  <si>
    <r>
      <t>　</t>
    </r>
    <r>
      <rPr>
        <u/>
        <sz val="18"/>
        <color rgb="FF0000CC"/>
        <rFont val="ＭＳ Ｐゴシック"/>
        <family val="3"/>
        <charset val="128"/>
      </rPr>
      <t>社会保険計算</t>
    </r>
    <rPh sb="1" eb="5">
      <t>シャカイホケン</t>
    </rPh>
    <rPh sb="5" eb="7">
      <t>ケイサン</t>
    </rPh>
    <phoneticPr fontId="3"/>
  </si>
  <si>
    <r>
      <t>　</t>
    </r>
    <r>
      <rPr>
        <u/>
        <sz val="18"/>
        <color rgb="FF0000CC"/>
        <rFont val="ＭＳ Ｐゴシック"/>
        <family val="3"/>
        <charset val="128"/>
      </rPr>
      <t>所得税計算</t>
    </r>
    <rPh sb="1" eb="4">
      <t>ショトクゼイ</t>
    </rPh>
    <rPh sb="4" eb="6">
      <t>ケイサン</t>
    </rPh>
    <phoneticPr fontId="3"/>
  </si>
  <si>
    <t>手取り年収</t>
    <rPh sb="0" eb="2">
      <t>テド</t>
    </rPh>
    <rPh sb="3" eb="5">
      <t>ネンシュウ</t>
    </rPh>
    <phoneticPr fontId="3"/>
  </si>
  <si>
    <t>又は、チェック（30H以上）</t>
    <rPh sb="0" eb="1">
      <t>マタ</t>
    </rPh>
    <rPh sb="11" eb="13">
      <t>イジョウ</t>
    </rPh>
    <phoneticPr fontId="3"/>
  </si>
  <si>
    <t>チェック（130万以上）</t>
    <rPh sb="8" eb="9">
      <t>マン</t>
    </rPh>
    <rPh sb="9" eb="11">
      <t>イジョウ</t>
    </rPh>
    <phoneticPr fontId="3"/>
  </si>
  <si>
    <t>医療分</t>
    <rPh sb="0" eb="2">
      <t>イリョウ</t>
    </rPh>
    <rPh sb="2" eb="3">
      <t>ブン</t>
    </rPh>
    <phoneticPr fontId="3"/>
  </si>
  <si>
    <t>支援金分</t>
    <rPh sb="0" eb="3">
      <t>シエンキン</t>
    </rPh>
    <rPh sb="3" eb="4">
      <t>ブン</t>
    </rPh>
    <phoneticPr fontId="3"/>
  </si>
  <si>
    <t>所得割率</t>
    <rPh sb="0" eb="2">
      <t>ショトク</t>
    </rPh>
    <rPh sb="2" eb="3">
      <t>ワリ</t>
    </rPh>
    <rPh sb="3" eb="4">
      <t>リツ</t>
    </rPh>
    <phoneticPr fontId="3"/>
  </si>
  <si>
    <t>均等割額</t>
    <rPh sb="0" eb="2">
      <t>キントウ</t>
    </rPh>
    <rPh sb="2" eb="3">
      <t>ワ</t>
    </rPh>
    <rPh sb="3" eb="4">
      <t>ガク</t>
    </rPh>
    <phoneticPr fontId="3"/>
  </si>
  <si>
    <t>平等割額</t>
    <rPh sb="0" eb="2">
      <t>ビョウドウ</t>
    </rPh>
    <rPh sb="2" eb="3">
      <t>ワリ</t>
    </rPh>
    <rPh sb="3" eb="4">
      <t>ガク</t>
    </rPh>
    <phoneticPr fontId="3"/>
  </si>
  <si>
    <t>所得割額</t>
    <rPh sb="0" eb="2">
      <t>ショトク</t>
    </rPh>
    <rPh sb="2" eb="3">
      <t>ワリ</t>
    </rPh>
    <rPh sb="3" eb="4">
      <t>ガク</t>
    </rPh>
    <phoneticPr fontId="3"/>
  </si>
  <si>
    <t>限度額</t>
    <rPh sb="0" eb="2">
      <t>ゲンド</t>
    </rPh>
    <rPh sb="2" eb="3">
      <t>ガク</t>
    </rPh>
    <phoneticPr fontId="3"/>
  </si>
  <si>
    <t>給与所得
控除額</t>
    <rPh sb="0" eb="2">
      <t>キュウヨ</t>
    </rPh>
    <rPh sb="2" eb="4">
      <t>ショトク</t>
    </rPh>
    <rPh sb="5" eb="7">
      <t>コウジョ</t>
    </rPh>
    <rPh sb="7" eb="8">
      <t>ガク</t>
    </rPh>
    <phoneticPr fontId="3"/>
  </si>
  <si>
    <t>国民健康
保険料合計</t>
    <rPh sb="0" eb="2">
      <t>コクミン</t>
    </rPh>
    <rPh sb="2" eb="4">
      <t>ケンコウ</t>
    </rPh>
    <rPh sb="5" eb="8">
      <t>ホケンリョウ</t>
    </rPh>
    <rPh sb="8" eb="10">
      <t>ゴウケイ</t>
    </rPh>
    <phoneticPr fontId="3"/>
  </si>
  <si>
    <t>給 与 収 入</t>
    <phoneticPr fontId="3"/>
  </si>
  <si>
    <t>基準総所得
（総所得-43万円）</t>
    <rPh sb="0" eb="2">
      <t>キジュン</t>
    </rPh>
    <rPh sb="2" eb="5">
      <t>ソウショトク</t>
    </rPh>
    <rPh sb="7" eb="10">
      <t>ソウショトク</t>
    </rPh>
    <rPh sb="13" eb="15">
      <t>マンエン</t>
    </rPh>
    <phoneticPr fontId="3"/>
  </si>
  <si>
    <r>
      <t xml:space="preserve">介護分
</t>
    </r>
    <r>
      <rPr>
        <b/>
        <sz val="14"/>
        <rFont val="ＭＳ Ｐゴシック"/>
        <family val="3"/>
        <charset val="128"/>
      </rPr>
      <t>(40歳以上65歳未満の方)</t>
    </r>
    <rPh sb="0" eb="2">
      <t>カイゴ</t>
    </rPh>
    <rPh sb="2" eb="3">
      <t>ブン</t>
    </rPh>
    <phoneticPr fontId="3"/>
  </si>
  <si>
    <t>国民年金保険料（月額）</t>
    <rPh sb="0" eb="2">
      <t>コクミン</t>
    </rPh>
    <rPh sb="2" eb="4">
      <t>ネンキン</t>
    </rPh>
    <rPh sb="4" eb="7">
      <t>ホケンリョウ</t>
    </rPh>
    <rPh sb="8" eb="10">
      <t>ゲツガク</t>
    </rPh>
    <phoneticPr fontId="3"/>
  </si>
  <si>
    <t>年収チェック</t>
    <rPh sb="0" eb="2">
      <t>ネンシュウ</t>
    </rPh>
    <phoneticPr fontId="3"/>
  </si>
  <si>
    <t>週所定労働時間</t>
    <rPh sb="0" eb="1">
      <t>シュウ</t>
    </rPh>
    <rPh sb="1" eb="3">
      <t>ショテイ</t>
    </rPh>
    <rPh sb="3" eb="5">
      <t>ロウドウ</t>
    </rPh>
    <rPh sb="5" eb="7">
      <t>ジカン</t>
    </rPh>
    <phoneticPr fontId="3"/>
  </si>
  <si>
    <t>生駒市</t>
    <rPh sb="0" eb="3">
      <t>イコマシ</t>
    </rPh>
    <phoneticPr fontId="3"/>
  </si>
  <si>
    <t>雇用保険料率
（被保険者分）</t>
    <rPh sb="0" eb="2">
      <t>コヨウ</t>
    </rPh>
    <rPh sb="2" eb="5">
      <t>ホケンリョウ</t>
    </rPh>
    <rPh sb="5" eb="6">
      <t>リツ</t>
    </rPh>
    <rPh sb="8" eb="12">
      <t>ヒホケンシャ</t>
    </rPh>
    <rPh sb="12" eb="13">
      <t>ブン</t>
    </rPh>
    <phoneticPr fontId="3"/>
  </si>
  <si>
    <t>合計</t>
    <rPh sb="0" eb="2">
      <t>ゴウケイ</t>
    </rPh>
    <phoneticPr fontId="3"/>
  </si>
  <si>
    <r>
      <rPr>
        <b/>
        <u/>
        <sz val="14"/>
        <color rgb="FFFF0000"/>
        <rFont val="ＭＳ Ｐゴシック"/>
        <family val="3"/>
        <charset val="128"/>
      </rPr>
      <t>【要事前準備】</t>
    </r>
    <r>
      <rPr>
        <b/>
        <u/>
        <sz val="14"/>
        <color rgb="FF0000CC"/>
        <rFont val="ＭＳ Ｐゴシック"/>
        <family val="3"/>
        <charset val="128"/>
      </rPr>
      <t>シミュレーションを行う市区町村別の税額・税率を入力してください！</t>
    </r>
    <rPh sb="1" eb="2">
      <t>ヨウ</t>
    </rPh>
    <rPh sb="2" eb="4">
      <t>ジゼン</t>
    </rPh>
    <rPh sb="4" eb="6">
      <t>ジュンビ</t>
    </rPh>
    <rPh sb="16" eb="17">
      <t>オコナ</t>
    </rPh>
    <rPh sb="18" eb="20">
      <t>シク</t>
    </rPh>
    <rPh sb="22" eb="23">
      <t>ベツ</t>
    </rPh>
    <rPh sb="27" eb="29">
      <t>ゼイリツ</t>
    </rPh>
    <rPh sb="30" eb="32">
      <t>ニュウリョク</t>
    </rPh>
    <phoneticPr fontId="3"/>
  </si>
  <si>
    <t>市区町村名</t>
    <rPh sb="0" eb="5">
      <t>シクチョウソンメイ</t>
    </rPh>
    <phoneticPr fontId="3"/>
  </si>
  <si>
    <t>　国民健康保険税　簡易計算表　　</t>
    <phoneticPr fontId="3"/>
  </si>
  <si>
    <t>Ｒ．５</t>
    <phoneticPr fontId="3"/>
  </si>
  <si>
    <t>大阪市</t>
    <rPh sb="0" eb="3">
      <t>オオサカシ</t>
    </rPh>
    <phoneticPr fontId="3"/>
  </si>
  <si>
    <t>３．国民健康保険料</t>
    <rPh sb="2" eb="9">
      <t>コクミンケンコウホケンリョウ</t>
    </rPh>
    <phoneticPr fontId="3"/>
  </si>
  <si>
    <t>４．国民年金保険料</t>
    <rPh sb="2" eb="4">
      <t>コクミン</t>
    </rPh>
    <rPh sb="4" eb="6">
      <t>ネンキン</t>
    </rPh>
    <rPh sb="6" eb="9">
      <t>ホケンリョウ</t>
    </rPh>
    <phoneticPr fontId="3"/>
  </si>
  <si>
    <t>５．地方税の計算</t>
    <rPh sb="2" eb="5">
      <t>チホウゼイ</t>
    </rPh>
    <rPh sb="6" eb="8">
      <t>ケイサン</t>
    </rPh>
    <phoneticPr fontId="3"/>
  </si>
  <si>
    <t>健康保険
介護なし</t>
    <rPh sb="0" eb="2">
      <t>ケンコウ</t>
    </rPh>
    <rPh sb="2" eb="4">
      <t>ホケン</t>
    </rPh>
    <rPh sb="5" eb="7">
      <t>カイゴ</t>
    </rPh>
    <phoneticPr fontId="3"/>
  </si>
  <si>
    <t>健康保険
介護あり</t>
    <rPh sb="0" eb="2">
      <t>ケンコウ</t>
    </rPh>
    <rPh sb="2" eb="4">
      <t>ホケン</t>
    </rPh>
    <rPh sb="5" eb="7">
      <t>カイゴ</t>
    </rPh>
    <phoneticPr fontId="3"/>
  </si>
  <si>
    <t>奈良市</t>
    <rPh sb="0" eb="2">
      <t>ナラ</t>
    </rPh>
    <rPh sb="2" eb="3">
      <t>シ</t>
    </rPh>
    <phoneticPr fontId="3"/>
  </si>
  <si>
    <t>奈良市</t>
    <rPh sb="0" eb="3">
      <t>ナラシ</t>
    </rPh>
    <phoneticPr fontId="3"/>
  </si>
  <si>
    <t>大阪市</t>
    <rPh sb="0" eb="2">
      <t>オオサカ</t>
    </rPh>
    <rPh sb="2" eb="3">
      <t>シ</t>
    </rPh>
    <phoneticPr fontId="3"/>
  </si>
  <si>
    <t>※ 国民健康保険料の均等割には「世帯全員の所得合計額で判定」される軽減率適用の制度があるが、このソフトでは考慮しません。</t>
    <rPh sb="2" eb="9">
      <t>コクミンケンコウホケンリョウ</t>
    </rPh>
    <rPh sb="10" eb="12">
      <t>キントウ</t>
    </rPh>
    <rPh sb="12" eb="13">
      <t>ワリ</t>
    </rPh>
    <rPh sb="16" eb="20">
      <t>セタイゼンイン</t>
    </rPh>
    <rPh sb="21" eb="23">
      <t>ショトク</t>
    </rPh>
    <rPh sb="23" eb="26">
      <t>ゴウケイガク</t>
    </rPh>
    <rPh sb="27" eb="29">
      <t>ハンテイ</t>
    </rPh>
    <rPh sb="53" eb="55">
      <t>コウリョ</t>
    </rPh>
    <phoneticPr fontId="3"/>
  </si>
  <si>
    <t>データ最終更新日</t>
    <rPh sb="3" eb="5">
      <t>サイシュウ</t>
    </rPh>
    <rPh sb="5" eb="8">
      <t>コウシンビ</t>
    </rPh>
    <phoneticPr fontId="3"/>
  </si>
  <si>
    <r>
      <rPr>
        <b/>
        <u/>
        <sz val="14"/>
        <color rgb="FFFF0000"/>
        <rFont val="ＭＳ Ｐゴシック"/>
        <family val="3"/>
        <charset val="128"/>
      </rPr>
      <t>【要事前準備】</t>
    </r>
    <r>
      <rPr>
        <b/>
        <u/>
        <sz val="14"/>
        <color rgb="FF0000CC"/>
        <rFont val="ＭＳ Ｐゴシック"/>
        <family val="3"/>
        <charset val="128"/>
      </rPr>
      <t>シミュレーションを行う市区町村別の保険料額・率を入力してください！</t>
    </r>
    <rPh sb="1" eb="2">
      <t>ヨウ</t>
    </rPh>
    <rPh sb="2" eb="4">
      <t>ジゼン</t>
    </rPh>
    <rPh sb="4" eb="6">
      <t>ジュンビ</t>
    </rPh>
    <rPh sb="16" eb="17">
      <t>オコナ</t>
    </rPh>
    <rPh sb="18" eb="20">
      <t>シク</t>
    </rPh>
    <rPh sb="22" eb="23">
      <t>ベツ</t>
    </rPh>
    <rPh sb="24" eb="27">
      <t>ホケンリョウ</t>
    </rPh>
    <rPh sb="29" eb="30">
      <t>リツ</t>
    </rPh>
    <rPh sb="31" eb="33">
      <t>ニュウリョク</t>
    </rPh>
    <phoneticPr fontId="3"/>
  </si>
  <si>
    <t>年度</t>
    <rPh sb="0" eb="2">
      <t>ネンド</t>
    </rPh>
    <phoneticPr fontId="3"/>
  </si>
  <si>
    <t>非課税基準</t>
    <rPh sb="0" eb="3">
      <t>ヒカゼイ</t>
    </rPh>
    <rPh sb="3" eb="5">
      <t>キジュン</t>
    </rPh>
    <phoneticPr fontId="3"/>
  </si>
  <si>
    <t>※選択「２」で、年収１３０万（諸手当込み・通勤手当除く）以上は自動的に国民年金・国民健康保険料計算！</t>
    <rPh sb="1" eb="3">
      <t>センタク</t>
    </rPh>
    <rPh sb="8" eb="10">
      <t>ネンシュウ</t>
    </rPh>
    <rPh sb="13" eb="14">
      <t>マン</t>
    </rPh>
    <rPh sb="15" eb="18">
      <t>ショテアテ</t>
    </rPh>
    <rPh sb="18" eb="19">
      <t>コミ</t>
    </rPh>
    <rPh sb="21" eb="25">
      <t>ツウキンテアテ</t>
    </rPh>
    <rPh sb="25" eb="26">
      <t>ノゾ</t>
    </rPh>
    <rPh sb="28" eb="30">
      <t>イジョウ</t>
    </rPh>
    <rPh sb="31" eb="34">
      <t>ジドウテキ</t>
    </rPh>
    <rPh sb="35" eb="39">
      <t>コクミンネンキン</t>
    </rPh>
    <rPh sb="40" eb="46">
      <t>コクミンケンコウホケン</t>
    </rPh>
    <rPh sb="47" eb="49">
      <t>ケイサン</t>
    </rPh>
    <phoneticPr fontId="3"/>
  </si>
  <si>
    <t>国民年金保険料（年額）</t>
    <rPh sb="0" eb="2">
      <t>コクミン</t>
    </rPh>
    <rPh sb="2" eb="4">
      <t>ネンキン</t>
    </rPh>
    <rPh sb="4" eb="7">
      <t>ホケンリョウ</t>
    </rPh>
    <rPh sb="8" eb="10">
      <t>ネンガク</t>
    </rPh>
    <phoneticPr fontId="3"/>
  </si>
  <si>
    <t>国民健康保険料（年額）</t>
    <rPh sb="0" eb="2">
      <t>コクミン</t>
    </rPh>
    <rPh sb="2" eb="4">
      <t>ケンコウ</t>
    </rPh>
    <rPh sb="4" eb="7">
      <t>ホケンリョウ</t>
    </rPh>
    <rPh sb="8" eb="10">
      <t>ネンガク</t>
    </rPh>
    <phoneticPr fontId="3"/>
  </si>
  <si>
    <t>住民税合計
（調整控除
算入）</t>
    <rPh sb="0" eb="3">
      <t>ジュウミンゼイ</t>
    </rPh>
    <rPh sb="3" eb="5">
      <t>ゴウケイ</t>
    </rPh>
    <rPh sb="7" eb="9">
      <t>チョウセイ</t>
    </rPh>
    <rPh sb="9" eb="11">
      <t>コウジョ</t>
    </rPh>
    <rPh sb="12" eb="14">
      <t>サンニュウ</t>
    </rPh>
    <phoneticPr fontId="3"/>
  </si>
  <si>
    <t>市区町村民</t>
    <rPh sb="0" eb="2">
      <t>シク</t>
    </rPh>
    <rPh sb="2" eb="4">
      <t>チョウソン</t>
    </rPh>
    <rPh sb="4" eb="5">
      <t>ミン</t>
    </rPh>
    <phoneticPr fontId="3"/>
  </si>
  <si>
    <t>都道府県民</t>
    <rPh sb="0" eb="2">
      <t>トドウ</t>
    </rPh>
    <rPh sb="2" eb="3">
      <t>フ</t>
    </rPh>
    <rPh sb="3" eb="5">
      <t>ケンミン</t>
    </rPh>
    <phoneticPr fontId="3"/>
  </si>
  <si>
    <t>※人的控除は基礎控除額のみ算入</t>
    <rPh sb="1" eb="3">
      <t>ジンテキ</t>
    </rPh>
    <rPh sb="3" eb="5">
      <t>コウジョ</t>
    </rPh>
    <rPh sb="6" eb="11">
      <t>キソコウジョガク</t>
    </rPh>
    <rPh sb="13" eb="15">
      <t>サンニュウ</t>
    </rPh>
    <phoneticPr fontId="3"/>
  </si>
  <si>
    <t>市区町村名</t>
    <rPh sb="0" eb="2">
      <t>シク</t>
    </rPh>
    <rPh sb="2" eb="4">
      <t>チョウソン</t>
    </rPh>
    <rPh sb="4" eb="5">
      <t>メイ</t>
    </rPh>
    <phoneticPr fontId="3"/>
  </si>
  <si>
    <t>介護分
(40歳以上65歳未満の方)</t>
    <rPh sb="0" eb="2">
      <t>カイゴ</t>
    </rPh>
    <rPh sb="2" eb="3">
      <t>ブン</t>
    </rPh>
    <phoneticPr fontId="3"/>
  </si>
  <si>
    <t>控除後
給与所得</t>
    <phoneticPr fontId="3"/>
  </si>
  <si>
    <t>※軽減措置は考慮しません！</t>
    <rPh sb="1" eb="5">
      <t>ケイゲンソチ</t>
    </rPh>
    <rPh sb="6" eb="8">
      <t>コウリョ</t>
    </rPh>
    <phoneticPr fontId="3"/>
  </si>
  <si>
    <t>自動計算シート</t>
    <rPh sb="0" eb="4">
      <t>ジドウケイサン</t>
    </rPh>
    <phoneticPr fontId="3"/>
  </si>
  <si>
    <t>従業員データ入力画面</t>
    <rPh sb="0" eb="3">
      <t>ジュウギョウイン</t>
    </rPh>
    <rPh sb="6" eb="8">
      <t>ニュウリョク</t>
    </rPh>
    <rPh sb="8" eb="10">
      <t>ガメン</t>
    </rPh>
    <phoneticPr fontId="3"/>
  </si>
  <si>
    <t>以下、行単位でコピーして行数を増やして使用して下さい！</t>
    <rPh sb="0" eb="2">
      <t>イカ</t>
    </rPh>
    <rPh sb="3" eb="6">
      <t>ギョウタンイ</t>
    </rPh>
    <rPh sb="12" eb="14">
      <t>ギョウスウ</t>
    </rPh>
    <rPh sb="15" eb="16">
      <t>フ</t>
    </rPh>
    <rPh sb="23" eb="24">
      <t>クダ</t>
    </rPh>
    <phoneticPr fontId="3"/>
  </si>
  <si>
    <t>設定は、行NO.1000迄コピーして増やせます。</t>
    <rPh sb="0" eb="2">
      <t>セッテイ</t>
    </rPh>
    <rPh sb="4" eb="5">
      <t>ギョウ</t>
    </rPh>
    <rPh sb="12" eb="13">
      <t>マデ</t>
    </rPh>
    <rPh sb="18" eb="19">
      <t>フ</t>
    </rPh>
    <phoneticPr fontId="3"/>
  </si>
  <si>
    <t>夏見込み</t>
    <rPh sb="0" eb="3">
      <t>ナツミコ</t>
    </rPh>
    <phoneticPr fontId="3"/>
  </si>
  <si>
    <t>冬見込み</t>
    <rPh sb="0" eb="3">
      <t>フユミコ</t>
    </rPh>
    <phoneticPr fontId="3"/>
  </si>
  <si>
    <t>※印 入力必須！</t>
    <rPh sb="1" eb="2">
      <t>シルシ</t>
    </rPh>
    <rPh sb="3" eb="5">
      <t>ニュウリョク</t>
    </rPh>
    <rPh sb="5" eb="7">
      <t>ヒッス</t>
    </rPh>
    <phoneticPr fontId="3"/>
  </si>
  <si>
    <r>
      <rPr>
        <b/>
        <sz val="12"/>
        <color rgb="FFFF0000"/>
        <rFont val="ＭＳ ゴシック"/>
        <family val="3"/>
        <charset val="128"/>
      </rPr>
      <t>(※）</t>
    </r>
    <r>
      <rPr>
        <b/>
        <sz val="12"/>
        <rFont val="ＭＳ ゴシック"/>
        <family val="3"/>
        <charset val="128"/>
      </rPr>
      <t xml:space="preserve">
従業員番号</t>
    </r>
    <rPh sb="4" eb="7">
      <t>ジュウギョウイン</t>
    </rPh>
    <rPh sb="7" eb="9">
      <t>バンゴウ</t>
    </rPh>
    <phoneticPr fontId="3"/>
  </si>
  <si>
    <r>
      <rPr>
        <b/>
        <sz val="11"/>
        <color rgb="FFFF0000"/>
        <rFont val="ＭＳ ゴシック"/>
        <family val="3"/>
        <charset val="128"/>
      </rPr>
      <t>(※）</t>
    </r>
    <r>
      <rPr>
        <b/>
        <sz val="11"/>
        <rFont val="ＭＳ ゴシック"/>
        <family val="3"/>
        <charset val="128"/>
      </rPr>
      <t xml:space="preserve">
氏　　名</t>
    </r>
    <rPh sb="4" eb="5">
      <t>シ</t>
    </rPh>
    <rPh sb="7" eb="8">
      <t>メイ</t>
    </rPh>
    <phoneticPr fontId="3"/>
  </si>
  <si>
    <r>
      <rPr>
        <b/>
        <sz val="11"/>
        <color rgb="FFFF0000"/>
        <rFont val="ＭＳ ゴシック"/>
        <family val="3"/>
        <charset val="128"/>
      </rPr>
      <t>(※）</t>
    </r>
    <r>
      <rPr>
        <b/>
        <sz val="11"/>
        <rFont val="ＭＳ ゴシック"/>
        <family val="3"/>
        <charset val="128"/>
      </rPr>
      <t xml:space="preserve">
該当市区町村</t>
    </r>
    <rPh sb="4" eb="6">
      <t>ガイトウ</t>
    </rPh>
    <rPh sb="6" eb="10">
      <t>シクチョウソン</t>
    </rPh>
    <phoneticPr fontId="3"/>
  </si>
  <si>
    <r>
      <rPr>
        <b/>
        <sz val="11"/>
        <color rgb="FFFF0000"/>
        <rFont val="ＭＳ ゴシック"/>
        <family val="3"/>
        <charset val="128"/>
      </rPr>
      <t>(※）</t>
    </r>
    <r>
      <rPr>
        <b/>
        <sz val="11"/>
        <rFont val="ＭＳ ゴシック"/>
        <family val="3"/>
        <charset val="128"/>
      </rPr>
      <t xml:space="preserve">
生年月日</t>
    </r>
    <rPh sb="4" eb="6">
      <t>セイネン</t>
    </rPh>
    <rPh sb="6" eb="8">
      <t>ガッピ</t>
    </rPh>
    <phoneticPr fontId="3"/>
  </si>
  <si>
    <r>
      <rPr>
        <b/>
        <sz val="11"/>
        <color rgb="FFFF0000"/>
        <rFont val="ＭＳ ゴシック"/>
        <family val="3"/>
        <charset val="128"/>
      </rPr>
      <t>(※）</t>
    </r>
    <r>
      <rPr>
        <b/>
        <sz val="11"/>
        <rFont val="ＭＳ ゴシック"/>
        <family val="3"/>
        <charset val="128"/>
      </rPr>
      <t>週所定労働日数</t>
    </r>
    <rPh sb="3" eb="4">
      <t>シュウ</t>
    </rPh>
    <rPh sb="4" eb="6">
      <t>ショテイ</t>
    </rPh>
    <rPh sb="6" eb="8">
      <t>ロウドウ</t>
    </rPh>
    <rPh sb="8" eb="10">
      <t>ニッスウ</t>
    </rPh>
    <phoneticPr fontId="3"/>
  </si>
  <si>
    <r>
      <rPr>
        <b/>
        <sz val="11"/>
        <color rgb="FFFF0000"/>
        <rFont val="ＭＳ ゴシック"/>
        <family val="3"/>
        <charset val="128"/>
      </rPr>
      <t>(※）</t>
    </r>
    <r>
      <rPr>
        <b/>
        <sz val="11"/>
        <rFont val="ＭＳ ゴシック"/>
        <family val="3"/>
        <charset val="128"/>
      </rPr>
      <t>所定
労働時間</t>
    </r>
    <rPh sb="3" eb="5">
      <t>ショテイ</t>
    </rPh>
    <rPh sb="6" eb="8">
      <t>ロウドウ</t>
    </rPh>
    <rPh sb="8" eb="10">
      <t>ジカン</t>
    </rPh>
    <phoneticPr fontId="3"/>
  </si>
  <si>
    <t>（注）住民税の算出は本年度の収入で計算しています！</t>
    <rPh sb="1" eb="2">
      <t>チュウ</t>
    </rPh>
    <rPh sb="3" eb="6">
      <t>ジュウミンゼイ</t>
    </rPh>
    <rPh sb="7" eb="9">
      <t>サンシュツ</t>
    </rPh>
    <rPh sb="10" eb="13">
      <t>ホンネンド</t>
    </rPh>
    <rPh sb="14" eb="16">
      <t>シュウニュウ</t>
    </rPh>
    <rPh sb="17" eb="19">
      <t>ケイサン</t>
    </rPh>
    <phoneticPr fontId="3"/>
  </si>
  <si>
    <t>計</t>
    <rPh sb="0" eb="1">
      <t>ケイ</t>
    </rPh>
    <phoneticPr fontId="3"/>
  </si>
  <si>
    <t>賞与（一時金）</t>
    <rPh sb="0" eb="2">
      <t>ショウヨ</t>
    </rPh>
    <rPh sb="3" eb="6">
      <t>イチジキン</t>
    </rPh>
    <phoneticPr fontId="3"/>
  </si>
  <si>
    <t>標準賞与額</t>
    <rPh sb="0" eb="2">
      <t>ヒョウジュン</t>
    </rPh>
    <rPh sb="2" eb="5">
      <t>ショウヨガク</t>
    </rPh>
    <phoneticPr fontId="3"/>
  </si>
  <si>
    <t>雇用
保険料/（年額）</t>
    <rPh sb="0" eb="2">
      <t>コヨウ</t>
    </rPh>
    <rPh sb="3" eb="6">
      <t>ホケンリョウ</t>
    </rPh>
    <rPh sb="8" eb="9">
      <t>ネン</t>
    </rPh>
    <rPh sb="9" eb="10">
      <t>ガク</t>
    </rPh>
    <phoneticPr fontId="3"/>
  </si>
  <si>
    <t>標準賞与額/12
（月額相当額）</t>
    <rPh sb="0" eb="2">
      <t>ヒョウジュン</t>
    </rPh>
    <rPh sb="2" eb="5">
      <t>ショウヨガク</t>
    </rPh>
    <rPh sb="10" eb="12">
      <t>ゲツガク</t>
    </rPh>
    <rPh sb="12" eb="14">
      <t>ソウトウ</t>
    </rPh>
    <rPh sb="14" eb="15">
      <t>ガク</t>
    </rPh>
    <phoneticPr fontId="3"/>
  </si>
  <si>
    <r>
      <rPr>
        <b/>
        <sz val="11"/>
        <color rgb="FFFF0000"/>
        <rFont val="ＭＳ ゴシック"/>
        <family val="3"/>
        <charset val="128"/>
      </rPr>
      <t>(※）</t>
    </r>
    <r>
      <rPr>
        <b/>
        <sz val="11"/>
        <rFont val="ＭＳ ゴシック"/>
        <family val="3"/>
        <charset val="128"/>
      </rPr>
      <t>賞与（一時金）見込み</t>
    </r>
    <rPh sb="3" eb="5">
      <t>ショウヨ</t>
    </rPh>
    <rPh sb="6" eb="9">
      <t>イチジキン</t>
    </rPh>
    <rPh sb="10" eb="12">
      <t>ミコ</t>
    </rPh>
    <phoneticPr fontId="3"/>
  </si>
  <si>
    <t>平成　　　年　　　月　　　日</t>
    <rPh sb="0" eb="2">
      <t>ヘイセイ</t>
    </rPh>
    <rPh sb="5" eb="6">
      <t>ネン</t>
    </rPh>
    <rPh sb="9" eb="10">
      <t>ガツ</t>
    </rPh>
    <rPh sb="13" eb="14">
      <t>ニチ</t>
    </rPh>
    <phoneticPr fontId="3"/>
  </si>
  <si>
    <t>週所定労働日数</t>
    <rPh sb="0" eb="1">
      <t>シュウ</t>
    </rPh>
    <rPh sb="1" eb="3">
      <t>ショテイ</t>
    </rPh>
    <rPh sb="3" eb="5">
      <t>ロウドウ</t>
    </rPh>
    <rPh sb="5" eb="7">
      <t>ニッスウ</t>
    </rPh>
    <phoneticPr fontId="3"/>
  </si>
  <si>
    <t>年間所定
労働時間</t>
    <rPh sb="0" eb="2">
      <t>ネンカン</t>
    </rPh>
    <rPh sb="2" eb="4">
      <t>ショテイ</t>
    </rPh>
    <rPh sb="5" eb="7">
      <t>ロウドウ</t>
    </rPh>
    <rPh sb="7" eb="9">
      <t>ジカン</t>
    </rPh>
    <phoneticPr fontId="3"/>
  </si>
  <si>
    <t>操作説明</t>
    <rPh sb="0" eb="2">
      <t>ソウサ</t>
    </rPh>
    <rPh sb="2" eb="4">
      <t>セツメイ</t>
    </rPh>
    <phoneticPr fontId="90"/>
  </si>
  <si>
    <t>メニュー一覧</t>
    <rPh sb="4" eb="6">
      <t>イチラン</t>
    </rPh>
    <phoneticPr fontId="3"/>
  </si>
  <si>
    <t>　ご購入頂いた利用者の方も同様ですのでご注意下さい。</t>
    <rPh sb="2" eb="4">
      <t>コウニュウ</t>
    </rPh>
    <rPh sb="4" eb="5">
      <t>イタダ</t>
    </rPh>
    <rPh sb="7" eb="10">
      <t>リヨウシャ</t>
    </rPh>
    <rPh sb="11" eb="12">
      <t>カタ</t>
    </rPh>
    <rPh sb="13" eb="15">
      <t>ドウヨウ</t>
    </rPh>
    <rPh sb="20" eb="22">
      <t>チュウイ</t>
    </rPh>
    <rPh sb="22" eb="23">
      <t>クダ</t>
    </rPh>
    <phoneticPr fontId="3"/>
  </si>
  <si>
    <t>２．解析・改造の禁止</t>
    <rPh sb="2" eb="4">
      <t>カイセキ</t>
    </rPh>
    <rPh sb="5" eb="7">
      <t>カイゾウ</t>
    </rPh>
    <rPh sb="8" eb="10">
      <t>キンシ</t>
    </rPh>
    <phoneticPr fontId="3"/>
  </si>
  <si>
    <t>　このソフトウェアについての解析・改造を禁止いたします。</t>
    <rPh sb="14" eb="16">
      <t>カイセキ</t>
    </rPh>
    <rPh sb="17" eb="19">
      <t>カイゾウ</t>
    </rPh>
    <rPh sb="20" eb="22">
      <t>キンシ</t>
    </rPh>
    <phoneticPr fontId="3"/>
  </si>
  <si>
    <t>　ご購入頂いた利用者の方に対してもパスワードで保護させていただきます。</t>
    <rPh sb="2" eb="4">
      <t>コウニュウ</t>
    </rPh>
    <rPh sb="4" eb="5">
      <t>イタダ</t>
    </rPh>
    <rPh sb="7" eb="10">
      <t>リヨウシャ</t>
    </rPh>
    <rPh sb="11" eb="12">
      <t>カタ</t>
    </rPh>
    <rPh sb="13" eb="14">
      <t>タイ</t>
    </rPh>
    <rPh sb="23" eb="25">
      <t>ホゴ</t>
    </rPh>
    <phoneticPr fontId="3"/>
  </si>
  <si>
    <t>１．従業員データ入力画面</t>
    <rPh sb="2" eb="5">
      <t>ジュウギョウイン</t>
    </rPh>
    <rPh sb="8" eb="10">
      <t>ニュウリョク</t>
    </rPh>
    <rPh sb="10" eb="12">
      <t>ガメン</t>
    </rPh>
    <phoneticPr fontId="3"/>
  </si>
  <si>
    <t>■</t>
    <phoneticPr fontId="3"/>
  </si>
  <si>
    <t>２ー２．保険料・地方税等入力画面</t>
    <rPh sb="4" eb="7">
      <t>ホケンリョウ</t>
    </rPh>
    <rPh sb="8" eb="12">
      <t>チホウゼイトウ</t>
    </rPh>
    <rPh sb="12" eb="14">
      <t>ニュウリョク</t>
    </rPh>
    <rPh sb="14" eb="16">
      <t>ガメン</t>
    </rPh>
    <phoneticPr fontId="3"/>
  </si>
  <si>
    <t>市区町村名</t>
    <rPh sb="0" eb="4">
      <t>シクチョウソン</t>
    </rPh>
    <rPh sb="4" eb="5">
      <t>メイ</t>
    </rPh>
    <phoneticPr fontId="3"/>
  </si>
  <si>
    <t>注1：地方税の該当市区町村名は、「2-2.保険料・地方税等入力画面の市区町村名と一致していること。</t>
    <rPh sb="0" eb="1">
      <t>チュウ</t>
    </rPh>
    <rPh sb="3" eb="6">
      <t>チホウゼイ</t>
    </rPh>
    <rPh sb="7" eb="9">
      <t>ガイトウ</t>
    </rPh>
    <rPh sb="9" eb="14">
      <t>シクチョウソンメイ</t>
    </rPh>
    <rPh sb="21" eb="24">
      <t>ホケンリョウ</t>
    </rPh>
    <rPh sb="25" eb="28">
      <t>チホウゼイ</t>
    </rPh>
    <rPh sb="28" eb="29">
      <t>トウ</t>
    </rPh>
    <rPh sb="29" eb="33">
      <t>ニュウリョクガメン</t>
    </rPh>
    <rPh sb="34" eb="39">
      <t>シクチョウソンメイ</t>
    </rPh>
    <rPh sb="40" eb="42">
      <t>イッチ</t>
    </rPh>
    <phoneticPr fontId="3"/>
  </si>
  <si>
    <r>
      <t>　　また、</t>
    </r>
    <r>
      <rPr>
        <b/>
        <sz val="12"/>
        <color rgb="FF0000FF"/>
        <rFont val="ＭＳ Ｐゴシック"/>
        <family val="3"/>
        <charset val="128"/>
      </rPr>
      <t>賞与（一時金）</t>
    </r>
    <r>
      <rPr>
        <b/>
        <sz val="12"/>
        <color theme="1"/>
        <rFont val="ＭＳ Ｐゴシック"/>
        <family val="3"/>
        <charset val="128"/>
      </rPr>
      <t>も支給するようであれば入力してください。</t>
    </r>
    <rPh sb="5" eb="7">
      <t>ショウヨ</t>
    </rPh>
    <rPh sb="8" eb="11">
      <t>イチジキン</t>
    </rPh>
    <rPh sb="13" eb="15">
      <t>シキュウ</t>
    </rPh>
    <rPh sb="23" eb="25">
      <t>ニュウリョク</t>
    </rPh>
    <phoneticPr fontId="3"/>
  </si>
  <si>
    <t>　　　雇用保険料率に変更があれば修正入力します！</t>
    <rPh sb="3" eb="8">
      <t>コヨウホケンリョウ</t>
    </rPh>
    <rPh sb="8" eb="9">
      <t>リツ</t>
    </rPh>
    <rPh sb="10" eb="12">
      <t>ヘンコウ</t>
    </rPh>
    <rPh sb="16" eb="18">
      <t>シュウセイ</t>
    </rPh>
    <rPh sb="18" eb="20">
      <t>ニュウリョク</t>
    </rPh>
    <phoneticPr fontId="3"/>
  </si>
  <si>
    <t>１．雇用保険料率</t>
    <rPh sb="2" eb="4">
      <t>コヨウ</t>
    </rPh>
    <rPh sb="4" eb="7">
      <t>ホケンリョウ</t>
    </rPh>
    <rPh sb="7" eb="8">
      <t>リツ</t>
    </rPh>
    <phoneticPr fontId="3"/>
  </si>
  <si>
    <t>２．厚生年金・健保保険料率</t>
    <rPh sb="2" eb="6">
      <t>コウセイネンキン</t>
    </rPh>
    <rPh sb="7" eb="9">
      <t>ケンポ</t>
    </rPh>
    <rPh sb="9" eb="12">
      <t>ホケンリョウ</t>
    </rPh>
    <rPh sb="12" eb="13">
      <t>リツ</t>
    </rPh>
    <phoneticPr fontId="3"/>
  </si>
  <si>
    <t>　　　従業員が居住する市区町村別に、国民健康保険料の算定基準を、ネット等で調べて事前に入力してください。</t>
    <rPh sb="3" eb="6">
      <t>ジュウギョウイン</t>
    </rPh>
    <rPh sb="7" eb="9">
      <t>キョジュウ</t>
    </rPh>
    <rPh sb="11" eb="15">
      <t>シクチョウソン</t>
    </rPh>
    <rPh sb="15" eb="16">
      <t>ベツ</t>
    </rPh>
    <rPh sb="18" eb="25">
      <t>コクミンケンコウホケンリョウ</t>
    </rPh>
    <rPh sb="26" eb="28">
      <t>サンテイ</t>
    </rPh>
    <rPh sb="28" eb="30">
      <t>キジュン</t>
    </rPh>
    <rPh sb="35" eb="36">
      <t>トウ</t>
    </rPh>
    <rPh sb="37" eb="38">
      <t>シラ</t>
    </rPh>
    <rPh sb="40" eb="42">
      <t>ジゼン</t>
    </rPh>
    <rPh sb="43" eb="45">
      <t>ニュウリョク</t>
    </rPh>
    <phoneticPr fontId="3"/>
  </si>
  <si>
    <t>※ 国民健康保険料の算出に必須！</t>
    <rPh sb="2" eb="9">
      <t>コクミンケンコウホケンリョウ</t>
    </rPh>
    <rPh sb="10" eb="12">
      <t>サンシュツ</t>
    </rPh>
    <rPh sb="13" eb="15">
      <t>ヒッス</t>
    </rPh>
    <phoneticPr fontId="3"/>
  </si>
  <si>
    <t>　　　国民年金保険料額に変更があれば修正入力します！</t>
    <rPh sb="3" eb="10">
      <t>コクミンネンキンホケンリョウ</t>
    </rPh>
    <rPh sb="10" eb="11">
      <t>ガク</t>
    </rPh>
    <rPh sb="11" eb="12">
      <t>リョウリツ</t>
    </rPh>
    <rPh sb="12" eb="14">
      <t>ヘンコウ</t>
    </rPh>
    <rPh sb="18" eb="20">
      <t>シュウセイ</t>
    </rPh>
    <rPh sb="20" eb="22">
      <t>ニュウリョク</t>
    </rPh>
    <phoneticPr fontId="3"/>
  </si>
  <si>
    <t>　　　従業員が居住する市区町村別に、地方税の算定基準を、ネット等で調べて事前に入力してください。</t>
    <rPh sb="3" eb="6">
      <t>ジュウギョウイン</t>
    </rPh>
    <rPh sb="7" eb="9">
      <t>キョジュウ</t>
    </rPh>
    <rPh sb="11" eb="15">
      <t>シクチョウソン</t>
    </rPh>
    <rPh sb="15" eb="16">
      <t>ベツ</t>
    </rPh>
    <rPh sb="18" eb="21">
      <t>チホウゼイ</t>
    </rPh>
    <rPh sb="22" eb="24">
      <t>サンテイ</t>
    </rPh>
    <rPh sb="24" eb="26">
      <t>キジュン</t>
    </rPh>
    <rPh sb="31" eb="32">
      <t>トウ</t>
    </rPh>
    <rPh sb="33" eb="34">
      <t>シラ</t>
    </rPh>
    <rPh sb="36" eb="38">
      <t>ジゼン</t>
    </rPh>
    <rPh sb="39" eb="41">
      <t>ニュウリョク</t>
    </rPh>
    <phoneticPr fontId="3"/>
  </si>
  <si>
    <t>※ 地方税の算出に必須！</t>
    <rPh sb="2" eb="5">
      <t>チホウゼイ</t>
    </rPh>
    <rPh sb="6" eb="8">
      <t>サンシュツ</t>
    </rPh>
    <rPh sb="9" eb="11">
      <t>ヒッス</t>
    </rPh>
    <phoneticPr fontId="3"/>
  </si>
  <si>
    <t>【現行時間給でシミュレーション】</t>
    <rPh sb="1" eb="3">
      <t>ゲンコウ</t>
    </rPh>
    <rPh sb="3" eb="6">
      <t>ジカンキュウ</t>
    </rPh>
    <phoneticPr fontId="3"/>
  </si>
  <si>
    <t>　　　「時間給改訂および手取り（見込み）年収のお知らせ！」＆「労働時間見直しのご提案と参考資料！」</t>
    <phoneticPr fontId="3"/>
  </si>
  <si>
    <t>★ 従業員への説明資料並びに検討資料として個別に作成します。</t>
    <rPh sb="2" eb="5">
      <t>ジュウギョウイン</t>
    </rPh>
    <rPh sb="7" eb="9">
      <t>セツメイ</t>
    </rPh>
    <rPh sb="9" eb="11">
      <t>シリョウ</t>
    </rPh>
    <rPh sb="11" eb="12">
      <t>ナラ</t>
    </rPh>
    <rPh sb="14" eb="16">
      <t>ケントウ</t>
    </rPh>
    <rPh sb="16" eb="18">
      <t>シリョウ</t>
    </rPh>
    <rPh sb="21" eb="23">
      <t>コベツ</t>
    </rPh>
    <rPh sb="24" eb="26">
      <t>サクセイ</t>
    </rPh>
    <phoneticPr fontId="3"/>
  </si>
  <si>
    <t>★ 従業員への所定労働時間等見直し提案資料として必要に応じて作成します。</t>
    <rPh sb="2" eb="5">
      <t>ジュウギョウイン</t>
    </rPh>
    <rPh sb="7" eb="13">
      <t>ショテイロウドウジカン</t>
    </rPh>
    <rPh sb="13" eb="14">
      <t>トウ</t>
    </rPh>
    <rPh sb="14" eb="16">
      <t>ミナオ</t>
    </rPh>
    <rPh sb="17" eb="19">
      <t>テイアン</t>
    </rPh>
    <rPh sb="19" eb="21">
      <t>シリョウ</t>
    </rPh>
    <rPh sb="24" eb="26">
      <t>ヒツヨウ</t>
    </rPh>
    <rPh sb="27" eb="28">
      <t>オウ</t>
    </rPh>
    <rPh sb="30" eb="32">
      <t>サクセイ</t>
    </rPh>
    <phoneticPr fontId="3"/>
  </si>
  <si>
    <t>法改正適用外</t>
    <rPh sb="0" eb="3">
      <t>ホウカイセイ</t>
    </rPh>
    <rPh sb="3" eb="6">
      <t>テキヨウガイ</t>
    </rPh>
    <phoneticPr fontId="3"/>
  </si>
  <si>
    <t>参照表</t>
    <rPh sb="0" eb="2">
      <t>サンショウ</t>
    </rPh>
    <rPh sb="2" eb="3">
      <t>ヒョウ</t>
    </rPh>
    <phoneticPr fontId="3"/>
  </si>
  <si>
    <t>２０２４年１０月１日から法改正適用</t>
    <rPh sb="4" eb="5">
      <t>ネン</t>
    </rPh>
    <rPh sb="7" eb="8">
      <t>ガツ</t>
    </rPh>
    <rPh sb="9" eb="10">
      <t>ニチ</t>
    </rPh>
    <rPh sb="12" eb="15">
      <t>ホウカイセイ</t>
    </rPh>
    <rPh sb="15" eb="17">
      <t>テキヨウ</t>
    </rPh>
    <phoneticPr fontId="3"/>
  </si>
  <si>
    <t>２０２４年９月３０日以前から法改正適用</t>
    <rPh sb="4" eb="5">
      <t>ネン</t>
    </rPh>
    <rPh sb="6" eb="7">
      <t>ガツ</t>
    </rPh>
    <rPh sb="9" eb="10">
      <t>ニチ</t>
    </rPh>
    <rPh sb="10" eb="12">
      <t>イゼン</t>
    </rPh>
    <rPh sb="14" eb="17">
      <t>ホウカイセイ</t>
    </rPh>
    <rPh sb="17" eb="19">
      <t>テキヨウ</t>
    </rPh>
    <phoneticPr fontId="3"/>
  </si>
  <si>
    <t>５１人以上１００人以下の会社</t>
    <rPh sb="2" eb="3">
      <t>ニン</t>
    </rPh>
    <rPh sb="3" eb="5">
      <t>イジョウ</t>
    </rPh>
    <rPh sb="8" eb="9">
      <t>ニン</t>
    </rPh>
    <rPh sb="9" eb="11">
      <t>イカ</t>
    </rPh>
    <rPh sb="12" eb="14">
      <t>カイシャ</t>
    </rPh>
    <phoneticPr fontId="3"/>
  </si>
  <si>
    <t>１０１人以上の会社</t>
    <rPh sb="3" eb="4">
      <t>ニン</t>
    </rPh>
    <rPh sb="4" eb="6">
      <t>イジョウ</t>
    </rPh>
    <rPh sb="7" eb="9">
      <t>カイシャ</t>
    </rPh>
    <phoneticPr fontId="3"/>
  </si>
  <si>
    <t>被保険者数</t>
    <rPh sb="0" eb="4">
      <t>ヒホケンシャ</t>
    </rPh>
    <rPh sb="4" eb="5">
      <t>カズ</t>
    </rPh>
    <phoneticPr fontId="3"/>
  </si>
  <si>
    <t>社保該当・非該当の選択</t>
    <rPh sb="0" eb="2">
      <t>シャホ</t>
    </rPh>
    <rPh sb="2" eb="4">
      <t>ガイトウ</t>
    </rPh>
    <rPh sb="5" eb="8">
      <t>ヒガイトウ</t>
    </rPh>
    <rPh sb="9" eb="11">
      <t>センタク</t>
    </rPh>
    <phoneticPr fontId="3"/>
  </si>
  <si>
    <t>シート別シミュレーションの概要</t>
    <rPh sb="3" eb="4">
      <t>ベツ</t>
    </rPh>
    <rPh sb="13" eb="15">
      <t>ガイヨウ</t>
    </rPh>
    <phoneticPr fontId="3"/>
  </si>
  <si>
    <t>シート名</t>
    <rPh sb="3" eb="4">
      <t>メイ</t>
    </rPh>
    <phoneticPr fontId="3"/>
  </si>
  <si>
    <t>設定選択</t>
    <rPh sb="0" eb="2">
      <t>セッテイ</t>
    </rPh>
    <rPh sb="2" eb="4">
      <t>センタク</t>
    </rPh>
    <phoneticPr fontId="3"/>
  </si>
  <si>
    <t>（※）フルタイムの従業員数と、週所定労働時間及び月所定労働日数がフルタイムの4分の3以上の従業員数を合計した数。</t>
  </si>
  <si>
    <t>被保険者数（※）</t>
    <rPh sb="0" eb="4">
      <t>ヒホケンシャ</t>
    </rPh>
    <rPh sb="4" eb="5">
      <t>カズ</t>
    </rPh>
    <phoneticPr fontId="3"/>
  </si>
  <si>
    <t>社会保険適用拡大の適用・未適用区分とシート別の設定内容</t>
    <rPh sb="0" eb="4">
      <t>シャカイホケン</t>
    </rPh>
    <rPh sb="4" eb="6">
      <t>テキヨウ</t>
    </rPh>
    <rPh sb="6" eb="8">
      <t>カクダイ</t>
    </rPh>
    <rPh sb="9" eb="11">
      <t>テキヨウ</t>
    </rPh>
    <rPh sb="12" eb="15">
      <t>ミテキヨウ</t>
    </rPh>
    <rPh sb="15" eb="17">
      <t>クブン</t>
    </rPh>
    <rPh sb="21" eb="22">
      <t>ベツ</t>
    </rPh>
    <rPh sb="23" eb="25">
      <t>セッテイ</t>
    </rPh>
    <rPh sb="25" eb="27">
      <t>ナイヨウ</t>
    </rPh>
    <phoneticPr fontId="3"/>
  </si>
  <si>
    <t>選択「１」と「２」の原則</t>
    <rPh sb="0" eb="2">
      <t>センタク</t>
    </rPh>
    <rPh sb="10" eb="12">
      <t>ゲンソク</t>
    </rPh>
    <phoneticPr fontId="3"/>
  </si>
  <si>
    <t>区分</t>
    <rPh sb="0" eb="2">
      <t>クブン</t>
    </rPh>
    <phoneticPr fontId="3"/>
  </si>
  <si>
    <t>１．社会保険適用拡大の適用・未適用区分とシート別の設定内容</t>
    <rPh sb="2" eb="6">
      <t>シャカイホケン</t>
    </rPh>
    <rPh sb="6" eb="8">
      <t>テキヨウ</t>
    </rPh>
    <rPh sb="8" eb="10">
      <t>カクダイ</t>
    </rPh>
    <rPh sb="11" eb="13">
      <t>テキヨウ</t>
    </rPh>
    <rPh sb="14" eb="17">
      <t>ミテキヨウ</t>
    </rPh>
    <rPh sb="17" eb="19">
      <t>クブン</t>
    </rPh>
    <rPh sb="23" eb="24">
      <t>ベツ</t>
    </rPh>
    <rPh sb="25" eb="27">
      <t>セッテイ</t>
    </rPh>
    <rPh sb="27" eb="29">
      <t>ナイヨウ</t>
    </rPh>
    <phoneticPr fontId="3"/>
  </si>
  <si>
    <t>２．社会保険加入対象者の条件</t>
    <rPh sb="2" eb="6">
      <t>シャカイホケン</t>
    </rPh>
    <rPh sb="6" eb="8">
      <t>カニュウ</t>
    </rPh>
    <rPh sb="8" eb="11">
      <t>タイショウシャ</t>
    </rPh>
    <rPh sb="12" eb="14">
      <t>ジョウケン</t>
    </rPh>
    <phoneticPr fontId="3"/>
  </si>
  <si>
    <t>　　① 社会保険適用拡大が未適用の会社</t>
    <rPh sb="8" eb="10">
      <t>テキヨウ</t>
    </rPh>
    <rPh sb="17" eb="19">
      <t>カイシャ</t>
    </rPh>
    <phoneticPr fontId="3"/>
  </si>
  <si>
    <t>★ 常時雇用されている従業員</t>
    <phoneticPr fontId="3"/>
  </si>
  <si>
    <t>★ 週の所定労働時間が常時雇用されている従業員の4分の3以上かつ、1カ月の所定労働日数が常時雇用されている従業員の4分の3以上である者</t>
    <phoneticPr fontId="3"/>
  </si>
  <si>
    <t>　上記２つの条件を満たせが勤務先の社会保険に加入します。</t>
    <rPh sb="1" eb="3">
      <t>ジョウキ</t>
    </rPh>
    <rPh sb="6" eb="8">
      <t>ジョウケン</t>
    </rPh>
    <rPh sb="9" eb="10">
      <t>ミ</t>
    </rPh>
    <rPh sb="13" eb="16">
      <t>キンムサキ</t>
    </rPh>
    <rPh sb="17" eb="21">
      <t>シャカイホケン</t>
    </rPh>
    <rPh sb="22" eb="24">
      <t>カニュウ</t>
    </rPh>
    <phoneticPr fontId="3"/>
  </si>
  <si>
    <r>
      <rPr>
        <b/>
        <sz val="11"/>
        <rFont val="ＭＳ Ｐゴシック"/>
        <family val="3"/>
        <charset val="128"/>
      </rPr>
      <t>　　（</t>
    </r>
    <r>
      <rPr>
        <b/>
        <u/>
        <sz val="11"/>
        <rFont val="ＭＳ Ｐゴシック"/>
        <family val="3"/>
        <charset val="128"/>
      </rPr>
      <t>このソフトでは、週所定労働時間フルタイムの4分の3以上の条件は</t>
    </r>
    <r>
      <rPr>
        <b/>
        <u/>
        <sz val="11"/>
        <color rgb="FF0000FF"/>
        <rFont val="ＭＳ Ｐゴシック"/>
        <family val="3"/>
        <charset val="128"/>
      </rPr>
      <t>「</t>
    </r>
    <r>
      <rPr>
        <b/>
        <u/>
        <sz val="14"/>
        <color rgb="FF0000FF"/>
        <rFont val="ＭＳ Ｐゴシック"/>
        <family val="3"/>
        <charset val="128"/>
      </rPr>
      <t>週所定労働時間３０時間以上</t>
    </r>
    <r>
      <rPr>
        <b/>
        <u/>
        <sz val="11"/>
        <color rgb="FF0000FF"/>
        <rFont val="ＭＳ Ｐゴシック"/>
        <family val="3"/>
        <charset val="128"/>
      </rPr>
      <t>」と</t>
    </r>
    <r>
      <rPr>
        <b/>
        <u/>
        <sz val="11"/>
        <color theme="1"/>
        <rFont val="ＭＳ Ｐゴシック"/>
        <family val="3"/>
        <charset val="128"/>
      </rPr>
      <t>読み替えて設定していま</t>
    </r>
    <r>
      <rPr>
        <b/>
        <u/>
        <sz val="11"/>
        <rFont val="ＭＳ Ｐゴシック"/>
        <family val="3"/>
        <charset val="128"/>
      </rPr>
      <t>す。）</t>
    </r>
    <rPh sb="31" eb="33">
      <t>ジョウケン</t>
    </rPh>
    <rPh sb="35" eb="42">
      <t>シュウショテイロウドウジカン</t>
    </rPh>
    <rPh sb="44" eb="46">
      <t>ジカン</t>
    </rPh>
    <rPh sb="46" eb="48">
      <t>イジョウ</t>
    </rPh>
    <rPh sb="50" eb="51">
      <t>ヨ</t>
    </rPh>
    <rPh sb="52" eb="53">
      <t>カ</t>
    </rPh>
    <rPh sb="55" eb="57">
      <t>セッテイ</t>
    </rPh>
    <phoneticPr fontId="3"/>
  </si>
  <si>
    <t>★ 週所定労働時間３０時間未満で、年収１３０万円を超えると扶養から外れ国民年金・国民健康保険に加入することが義務付けらます。（いわゆる１３０万円の壁）。</t>
    <rPh sb="2" eb="9">
      <t>シュウショテイロウドウジカン</t>
    </rPh>
    <rPh sb="11" eb="13">
      <t>ジカン</t>
    </rPh>
    <rPh sb="13" eb="15">
      <t>ミマン</t>
    </rPh>
    <rPh sb="17" eb="19">
      <t>ネンシュウ</t>
    </rPh>
    <rPh sb="22" eb="24">
      <t>マンエン</t>
    </rPh>
    <rPh sb="25" eb="26">
      <t>コ</t>
    </rPh>
    <rPh sb="29" eb="31">
      <t>フヨウ</t>
    </rPh>
    <rPh sb="33" eb="34">
      <t>ハズ</t>
    </rPh>
    <rPh sb="35" eb="39">
      <t>コクミンネンキン</t>
    </rPh>
    <rPh sb="40" eb="46">
      <t>コクミンケンコウホケン</t>
    </rPh>
    <rPh sb="47" eb="49">
      <t>カニュウ</t>
    </rPh>
    <rPh sb="54" eb="57">
      <t>ギムヅ</t>
    </rPh>
    <rPh sb="70" eb="72">
      <t>マンエン</t>
    </rPh>
    <rPh sb="73" eb="74">
      <t>カベ</t>
    </rPh>
    <phoneticPr fontId="3"/>
  </si>
  <si>
    <t>　　勤務先の社会保険に加入する場合よりも社会保険料の負担が大きくなります。</t>
    <rPh sb="2" eb="5">
      <t>キンムサキ</t>
    </rPh>
    <rPh sb="15" eb="17">
      <t>バアイ</t>
    </rPh>
    <rPh sb="20" eb="25">
      <t>シャカイホケンリョウ</t>
    </rPh>
    <rPh sb="26" eb="28">
      <t>フタン</t>
    </rPh>
    <rPh sb="29" eb="30">
      <t>オオ</t>
    </rPh>
    <phoneticPr fontId="3"/>
  </si>
  <si>
    <t>　　② 社会保険適用拡大が適用された会社</t>
    <rPh sb="8" eb="10">
      <t>テキヨウ</t>
    </rPh>
    <rPh sb="18" eb="20">
      <t>カイシャ</t>
    </rPh>
    <phoneticPr fontId="3"/>
  </si>
  <si>
    <t>★ 週所定労働時間２０時間以上である者</t>
    <rPh sb="18" eb="19">
      <t>モノ</t>
    </rPh>
    <phoneticPr fontId="3"/>
  </si>
  <si>
    <t>★ 厚生年金の被保険者（正社員やフルタイム労働者の4分の3以上の労働時間で働くパートタイムなど）を数える</t>
    <phoneticPr fontId="3"/>
  </si>
  <si>
    <t>★ 法人の場合、法人番号が同一の企業を合計して判断</t>
    <phoneticPr fontId="3"/>
  </si>
  <si>
    <t>★ 従業員数が下回ったとしても原則として拡大後のルールが引き続き適用</t>
    <phoneticPr fontId="3"/>
  </si>
  <si>
    <t>　　③ 社会保険適用拡大後の適用基準と留意点</t>
    <rPh sb="8" eb="10">
      <t>テキヨウ</t>
    </rPh>
    <rPh sb="12" eb="13">
      <t>ゴ</t>
    </rPh>
    <rPh sb="14" eb="16">
      <t>テキヨウ</t>
    </rPh>
    <rPh sb="16" eb="18">
      <t>キジュン</t>
    </rPh>
    <rPh sb="19" eb="22">
      <t>リュウイテン</t>
    </rPh>
    <phoneticPr fontId="3"/>
  </si>
  <si>
    <t>★ 直近１２ヵ月のうち、６ヵ月で基準を上回った段階で適用</t>
    <rPh sb="7" eb="8">
      <t>ゲツ</t>
    </rPh>
    <rPh sb="14" eb="15">
      <t>ゲツ</t>
    </rPh>
    <phoneticPr fontId="3"/>
  </si>
  <si>
    <t>　　④ 従業員に社会保険加入の意向確認</t>
    <rPh sb="4" eb="7">
      <t>ジュウギョウイン</t>
    </rPh>
    <rPh sb="8" eb="10">
      <t>シャカイ</t>
    </rPh>
    <rPh sb="10" eb="12">
      <t>ホケン</t>
    </rPh>
    <rPh sb="12" eb="14">
      <t>カニュウ</t>
    </rPh>
    <rPh sb="15" eb="17">
      <t>イコウ</t>
    </rPh>
    <rPh sb="17" eb="19">
      <t>カクニン</t>
    </rPh>
    <phoneticPr fontId="3"/>
  </si>
  <si>
    <t>★ 労働契約上、要件を満たす契約を結んでいる場合、社会保険への加入義務が生じます。</t>
    <phoneticPr fontId="3"/>
  </si>
  <si>
    <t>　しかし、従業員によっては「扶養の範囲内で働きたい」という家庭の事情もあり得ることから、早いタイミングで改正内容を周知し、場合によっては契約内容の見直しをするなどの選択肢が想定されます。</t>
    <phoneticPr fontId="3"/>
  </si>
  <si>
    <t>★ 社会保険に加入することで、老後の年金増額や万が一働けなくなった場合に傷病手当金（概ね給与の3分の2）を受けることができ、長期的にプラスにもなり得るため懇切丁寧に説明することが重要です。</t>
    <phoneticPr fontId="3"/>
  </si>
  <si>
    <t>★ 企業が想定すべきリスクとして、万が一適用要件に合致するにもかかわらず、加入できていないパートタイムがいた場合、さかのぼって加入させる必要があり、その分の保険料の納付も必要になります。</t>
    <phoneticPr fontId="3"/>
  </si>
  <si>
    <t>月収チェック（88，000円以上）</t>
    <rPh sb="0" eb="2">
      <t>ゲッシュウ</t>
    </rPh>
    <rPh sb="13" eb="14">
      <t>エン</t>
    </rPh>
    <rPh sb="14" eb="16">
      <t>イジョウ</t>
    </rPh>
    <phoneticPr fontId="3"/>
  </si>
  <si>
    <t>チェック項目</t>
    <rPh sb="4" eb="6">
      <t>コウモク</t>
    </rPh>
    <phoneticPr fontId="3"/>
  </si>
  <si>
    <t>週所定労働時間チェック（30H以上勤務先の社会保険に加入）</t>
    <rPh sb="0" eb="3">
      <t>シュウショテイ</t>
    </rPh>
    <rPh sb="3" eb="7">
      <t>ロウドウジカン</t>
    </rPh>
    <rPh sb="15" eb="17">
      <t>イジョウ</t>
    </rPh>
    <rPh sb="17" eb="20">
      <t>キンムサキ</t>
    </rPh>
    <phoneticPr fontId="3"/>
  </si>
  <si>
    <t>週所定労働時間チェック（20H以上勤務先の社会保険に加入）</t>
    <rPh sb="0" eb="3">
      <t>シュウショテイ</t>
    </rPh>
    <rPh sb="3" eb="7">
      <t>ロウドウジカン</t>
    </rPh>
    <rPh sb="15" eb="17">
      <t>イジョウ</t>
    </rPh>
    <rPh sb="17" eb="20">
      <t>キンムサキ</t>
    </rPh>
    <phoneticPr fontId="3"/>
  </si>
  <si>
    <t>シミュレーションのチェック基準</t>
    <rPh sb="13" eb="15">
      <t>キジュン</t>
    </rPh>
    <phoneticPr fontId="3"/>
  </si>
  <si>
    <t>適用拡大の
未適用</t>
    <rPh sb="0" eb="4">
      <t>テキヨウカクダイ</t>
    </rPh>
    <rPh sb="6" eb="9">
      <t>ミテキヨウ</t>
    </rPh>
    <phoneticPr fontId="3"/>
  </si>
  <si>
    <t>適用拡大の
適用</t>
    <rPh sb="0" eb="4">
      <t>テキヨウカクダイ</t>
    </rPh>
    <rPh sb="6" eb="8">
      <t>テキヨウ</t>
    </rPh>
    <phoneticPr fontId="3"/>
  </si>
  <si>
    <t>雇用保険</t>
    <rPh sb="0" eb="2">
      <t>コヨウ</t>
    </rPh>
    <rPh sb="2" eb="4">
      <t>ホケン</t>
    </rPh>
    <phoneticPr fontId="3"/>
  </si>
  <si>
    <t>週所定労働時間チェック（20H以上で加入）</t>
    <rPh sb="0" eb="3">
      <t>シュウショテイ</t>
    </rPh>
    <rPh sb="3" eb="7">
      <t>ロウドウジカン</t>
    </rPh>
    <rPh sb="15" eb="17">
      <t>イジョウ</t>
    </rPh>
    <rPh sb="18" eb="20">
      <t>カニュウ</t>
    </rPh>
    <phoneticPr fontId="3"/>
  </si>
  <si>
    <t>年収チェック（130万以上扶養外）国民年金・国民健康保険に加入</t>
    <rPh sb="0" eb="2">
      <t>ネンシュウ</t>
    </rPh>
    <rPh sb="10" eb="11">
      <t>マン</t>
    </rPh>
    <rPh sb="11" eb="13">
      <t>イジョウ</t>
    </rPh>
    <rPh sb="13" eb="15">
      <t>フヨウ</t>
    </rPh>
    <rPh sb="15" eb="16">
      <t>ガイ</t>
    </rPh>
    <rPh sb="17" eb="21">
      <t>コクミンネンキン</t>
    </rPh>
    <rPh sb="22" eb="24">
      <t>コクミン</t>
    </rPh>
    <rPh sb="24" eb="28">
      <t>ケンコウホケン</t>
    </rPh>
    <rPh sb="29" eb="31">
      <t>カニュウ</t>
    </rPh>
    <phoneticPr fontId="3"/>
  </si>
  <si>
    <t>年収チェック（130万以上扶養外）国民年金・国民健康保険に加入</t>
    <rPh sb="0" eb="2">
      <t>ネンシュウ</t>
    </rPh>
    <rPh sb="10" eb="11">
      <t>マン</t>
    </rPh>
    <rPh sb="11" eb="13">
      <t>イジョウ</t>
    </rPh>
    <rPh sb="13" eb="15">
      <t>フヨウ</t>
    </rPh>
    <rPh sb="15" eb="16">
      <t>ガイ</t>
    </rPh>
    <rPh sb="17" eb="19">
      <t>コクミン</t>
    </rPh>
    <rPh sb="19" eb="21">
      <t>ネンキン</t>
    </rPh>
    <rPh sb="22" eb="24">
      <t>コクミン</t>
    </rPh>
    <rPh sb="24" eb="26">
      <t>ケンコウ</t>
    </rPh>
    <rPh sb="26" eb="28">
      <t>ホケン</t>
    </rPh>
    <rPh sb="29" eb="31">
      <t>カニュウ</t>
    </rPh>
    <phoneticPr fontId="3"/>
  </si>
  <si>
    <t>参照セル
8.8万チェック</t>
    <rPh sb="0" eb="2">
      <t>サンショウ</t>
    </rPh>
    <rPh sb="8" eb="9">
      <t>マン</t>
    </rPh>
    <phoneticPr fontId="3"/>
  </si>
  <si>
    <t>家族手当</t>
    <rPh sb="0" eb="4">
      <t>カゾクテアテ</t>
    </rPh>
    <phoneticPr fontId="3"/>
  </si>
  <si>
    <t>住宅手当</t>
    <rPh sb="0" eb="4">
      <t>ジュウタクテアテ</t>
    </rPh>
    <phoneticPr fontId="3"/>
  </si>
  <si>
    <t>精皆勤手当</t>
    <rPh sb="0" eb="1">
      <t>セイ</t>
    </rPh>
    <rPh sb="1" eb="5">
      <t>カイキンテア</t>
    </rPh>
    <phoneticPr fontId="3"/>
  </si>
  <si>
    <t>深夜勤務手当</t>
    <rPh sb="0" eb="2">
      <t>シンヤ</t>
    </rPh>
    <rPh sb="2" eb="4">
      <t>キンム</t>
    </rPh>
    <rPh sb="4" eb="6">
      <t>テアテ</t>
    </rPh>
    <phoneticPr fontId="3"/>
  </si>
  <si>
    <t>休日出勤手当</t>
    <rPh sb="0" eb="2">
      <t>キュウジツ</t>
    </rPh>
    <rPh sb="2" eb="4">
      <t>シュッキン</t>
    </rPh>
    <rPh sb="4" eb="6">
      <t>テアテ</t>
    </rPh>
    <phoneticPr fontId="3"/>
  </si>
  <si>
    <t>時間外勤務手当</t>
    <rPh sb="0" eb="3">
      <t>ジカンガイ</t>
    </rPh>
    <rPh sb="3" eb="5">
      <t>キンム</t>
    </rPh>
    <rPh sb="5" eb="7">
      <t>テアテ</t>
    </rPh>
    <phoneticPr fontId="3"/>
  </si>
  <si>
    <t>※時間外勤務・休日出勤・深夜勤務等手当は見込み金額です！</t>
    <rPh sb="1" eb="4">
      <t>ジカンガイ</t>
    </rPh>
    <rPh sb="4" eb="6">
      <t>キンム</t>
    </rPh>
    <rPh sb="7" eb="9">
      <t>キュウジツ</t>
    </rPh>
    <rPh sb="9" eb="11">
      <t>シュッキン</t>
    </rPh>
    <rPh sb="12" eb="14">
      <t>シンヤ</t>
    </rPh>
    <rPh sb="14" eb="16">
      <t>キンム</t>
    </rPh>
    <rPh sb="16" eb="17">
      <t>トウ</t>
    </rPh>
    <rPh sb="17" eb="19">
      <t>テアテ</t>
    </rPh>
    <rPh sb="20" eb="22">
      <t>ミコ</t>
    </rPh>
    <rPh sb="23" eb="25">
      <t>キンガク</t>
    </rPh>
    <phoneticPr fontId="3"/>
  </si>
  <si>
    <t>⇒　⇒　⇒</t>
    <phoneticPr fontId="3"/>
  </si>
  <si>
    <t>月収（標準報酬月額算定基準）</t>
    <rPh sb="0" eb="2">
      <t>ゲッシュウ</t>
    </rPh>
    <rPh sb="3" eb="5">
      <t>ヒョウジュン</t>
    </rPh>
    <rPh sb="5" eb="7">
      <t>ホウシュウ</t>
    </rPh>
    <rPh sb="7" eb="9">
      <t>ガツガク</t>
    </rPh>
    <rPh sb="9" eb="11">
      <t>サンテイ</t>
    </rPh>
    <rPh sb="11" eb="13">
      <t>キジュン</t>
    </rPh>
    <phoneticPr fontId="3"/>
  </si>
  <si>
    <r>
      <rPr>
        <b/>
        <sz val="11"/>
        <color rgb="FFFF0000"/>
        <rFont val="ＭＳ ゴシック"/>
        <family val="3"/>
        <charset val="128"/>
      </rPr>
      <t xml:space="preserve">※ </t>
    </r>
    <r>
      <rPr>
        <b/>
        <sz val="10"/>
        <rFont val="ＭＳ ゴシック"/>
        <family val="3"/>
        <charset val="128"/>
      </rPr>
      <t>8.8万円算定に算入される手当-①</t>
    </r>
    <rPh sb="5" eb="7">
      <t>マンエン</t>
    </rPh>
    <rPh sb="7" eb="9">
      <t>サンテイ</t>
    </rPh>
    <rPh sb="10" eb="12">
      <t>サンニュウ</t>
    </rPh>
    <rPh sb="15" eb="17">
      <t>テアテ</t>
    </rPh>
    <phoneticPr fontId="3"/>
  </si>
  <si>
    <r>
      <rPr>
        <b/>
        <sz val="11"/>
        <color rgb="FFFF0000"/>
        <rFont val="ＭＳ ゴシック"/>
        <family val="3"/>
        <charset val="128"/>
      </rPr>
      <t xml:space="preserve">※ </t>
    </r>
    <r>
      <rPr>
        <b/>
        <sz val="11"/>
        <rFont val="ＭＳ ゴシック"/>
        <family val="3"/>
        <charset val="128"/>
      </rPr>
      <t>報酬月額算定に算入される諸手当-③　⇒　⇒　⇒</t>
    </r>
    <rPh sb="2" eb="4">
      <t>ホウシュウ</t>
    </rPh>
    <rPh sb="4" eb="6">
      <t>ゲツガク</t>
    </rPh>
    <rPh sb="6" eb="8">
      <t>サンテイ</t>
    </rPh>
    <rPh sb="9" eb="11">
      <t>サンニュウ</t>
    </rPh>
    <rPh sb="14" eb="17">
      <t>ショテアテ</t>
    </rPh>
    <phoneticPr fontId="3"/>
  </si>
  <si>
    <t>月収
（8.8万円算定基準）</t>
    <rPh sb="0" eb="2">
      <t>ゲッシュウ</t>
    </rPh>
    <rPh sb="7" eb="8">
      <t>マン</t>
    </rPh>
    <rPh sb="8" eb="9">
      <t>エン</t>
    </rPh>
    <rPh sb="9" eb="11">
      <t>サンテイ</t>
    </rPh>
    <rPh sb="11" eb="13">
      <t>キジュン</t>
    </rPh>
    <phoneticPr fontId="3"/>
  </si>
  <si>
    <t>月収
（年収算定基準）</t>
    <rPh sb="0" eb="2">
      <t>ゲッシュウ</t>
    </rPh>
    <rPh sb="4" eb="6">
      <t>ネンシュウ</t>
    </rPh>
    <rPh sb="6" eb="8">
      <t>サンテイ</t>
    </rPh>
    <rPh sb="8" eb="10">
      <t>キジュン</t>
    </rPh>
    <phoneticPr fontId="3"/>
  </si>
  <si>
    <t>月収算定基準の諸手当</t>
    <rPh sb="0" eb="2">
      <t>ゲッシュウ</t>
    </rPh>
    <rPh sb="2" eb="4">
      <t>サンテイ</t>
    </rPh>
    <rPh sb="4" eb="6">
      <t>キジュン</t>
    </rPh>
    <rPh sb="7" eb="10">
      <t>ショテアテ</t>
    </rPh>
    <phoneticPr fontId="3"/>
  </si>
  <si>
    <t>標準報酬月額算定基準の諸手当</t>
    <rPh sb="0" eb="6">
      <t>ヒョウジュンホウシュウゲツガク</t>
    </rPh>
    <rPh sb="6" eb="8">
      <t>サンテイ</t>
    </rPh>
    <rPh sb="8" eb="10">
      <t>キジュン</t>
    </rPh>
    <rPh sb="11" eb="14">
      <t>ショテアテ</t>
    </rPh>
    <phoneticPr fontId="3"/>
  </si>
  <si>
    <t>8.8万円算定基準の諸手当</t>
    <rPh sb="3" eb="5">
      <t>マンエン</t>
    </rPh>
    <rPh sb="5" eb="9">
      <t>サンテイキジュン</t>
    </rPh>
    <rPh sb="10" eb="13">
      <t>ショテアテ</t>
    </rPh>
    <phoneticPr fontId="3"/>
  </si>
  <si>
    <t>１ヵ月給与総額（標準報酬月額算定基準）</t>
    <rPh sb="0" eb="3">
      <t>イッカゲツ</t>
    </rPh>
    <rPh sb="3" eb="5">
      <t>キュウヨ</t>
    </rPh>
    <rPh sb="5" eb="7">
      <t>ソウガク</t>
    </rPh>
    <rPh sb="8" eb="14">
      <t>ヒョウジュンホウシュウゲツガク</t>
    </rPh>
    <rPh sb="14" eb="16">
      <t>サンテイ</t>
    </rPh>
    <rPh sb="16" eb="18">
      <t>キジュン</t>
    </rPh>
    <phoneticPr fontId="3"/>
  </si>
  <si>
    <t>年間給与総額（月収×12+賞与）</t>
    <rPh sb="0" eb="1">
      <t>ネン</t>
    </rPh>
    <rPh sb="1" eb="2">
      <t>カン</t>
    </rPh>
    <rPh sb="2" eb="4">
      <t>キュウヨ</t>
    </rPh>
    <rPh sb="4" eb="5">
      <t>ソウ</t>
    </rPh>
    <rPh sb="5" eb="6">
      <t>ガク</t>
    </rPh>
    <rPh sb="7" eb="9">
      <t>ゲッシュウ</t>
    </rPh>
    <rPh sb="13" eb="15">
      <t>ショウヨ</t>
    </rPh>
    <phoneticPr fontId="3"/>
  </si>
  <si>
    <t>※通勤手当は非課税限度額までとします。</t>
    <rPh sb="1" eb="5">
      <t>ツウキンテアテ</t>
    </rPh>
    <rPh sb="6" eb="9">
      <t>ヒカゼイ</t>
    </rPh>
    <rPh sb="9" eb="11">
      <t>ゲンド</t>
    </rPh>
    <rPh sb="11" eb="12">
      <t>ガク</t>
    </rPh>
    <phoneticPr fontId="3"/>
  </si>
  <si>
    <r>
      <t>※非課税限度額を超える通勤手当は</t>
    </r>
    <r>
      <rPr>
        <b/>
        <u/>
        <sz val="11"/>
        <rFont val="ＭＳ ゴシック"/>
        <family val="3"/>
        <charset val="128"/>
      </rPr>
      <t>通勤手当②</t>
    </r>
    <r>
      <rPr>
        <b/>
        <sz val="11"/>
        <rFont val="ＭＳ ゴシック"/>
        <family val="3"/>
        <charset val="128"/>
      </rPr>
      <t>等として、課税対象として別途に手当を設けます。</t>
    </r>
    <rPh sb="1" eb="4">
      <t>ヒカゼイ</t>
    </rPh>
    <rPh sb="4" eb="7">
      <t>ゲンドガク</t>
    </rPh>
    <rPh sb="8" eb="9">
      <t>コ</t>
    </rPh>
    <rPh sb="11" eb="13">
      <t>ツウキン</t>
    </rPh>
    <rPh sb="13" eb="15">
      <t>テアテ</t>
    </rPh>
    <rPh sb="16" eb="20">
      <t>ツウキンテアテ</t>
    </rPh>
    <rPh sb="21" eb="22">
      <t>トウ</t>
    </rPh>
    <rPh sb="26" eb="30">
      <t>カゼイタイショウ</t>
    </rPh>
    <rPh sb="33" eb="35">
      <t>ベット</t>
    </rPh>
    <rPh sb="36" eb="38">
      <t>テアテ</t>
    </rPh>
    <rPh sb="39" eb="40">
      <t>モウ</t>
    </rPh>
    <phoneticPr fontId="3"/>
  </si>
  <si>
    <r>
      <rPr>
        <b/>
        <sz val="11"/>
        <color rgb="FFFF0000"/>
        <rFont val="ＭＳ ゴシック"/>
        <family val="3"/>
        <charset val="128"/>
      </rPr>
      <t xml:space="preserve">※ </t>
    </r>
    <r>
      <rPr>
        <b/>
        <sz val="11"/>
        <rFont val="ＭＳ ゴシック"/>
        <family val="3"/>
        <charset val="128"/>
      </rPr>
      <t>年収算定に算入される諸手当（課税対象）-②　⇒　⇒</t>
    </r>
    <rPh sb="2" eb="4">
      <t>ネンシュウ</t>
    </rPh>
    <rPh sb="4" eb="6">
      <t>サンテイ</t>
    </rPh>
    <rPh sb="7" eb="9">
      <t>サンニュウ</t>
    </rPh>
    <rPh sb="12" eb="15">
      <t>ショテアテ</t>
    </rPh>
    <rPh sb="16" eb="18">
      <t>カゼイ</t>
    </rPh>
    <rPh sb="18" eb="20">
      <t>タイショウ</t>
    </rPh>
    <phoneticPr fontId="3"/>
  </si>
  <si>
    <r>
      <rPr>
        <b/>
        <sz val="14"/>
        <color rgb="FF0000CC"/>
        <rFont val="ＭＳ Ｐゴシック"/>
        <family val="3"/>
        <charset val="128"/>
      </rPr>
      <t>　　</t>
    </r>
    <r>
      <rPr>
        <b/>
        <u/>
        <sz val="14"/>
        <color rgb="FF0000CC"/>
        <rFont val="ＭＳ Ｐゴシック"/>
        <family val="3"/>
        <charset val="128"/>
      </rPr>
      <t>Ｑ＆Ａ集（その２） 
(令和４年 10 月施行分)より】</t>
    </r>
    <rPh sb="5" eb="6">
      <t>シュウ</t>
    </rPh>
    <rPh sb="14" eb="16">
      <t>レイワ</t>
    </rPh>
    <rPh sb="17" eb="18">
      <t>ネン</t>
    </rPh>
    <rPh sb="22" eb="23">
      <t>ガツ</t>
    </rPh>
    <rPh sb="23" eb="25">
      <t>セコウ</t>
    </rPh>
    <rPh sb="25" eb="26">
      <t>ブン</t>
    </rPh>
    <phoneticPr fontId="3"/>
  </si>
  <si>
    <t>以上で。　有効にご活用いただければ幸いです！</t>
    <rPh sb="0" eb="2">
      <t>イジョウ</t>
    </rPh>
    <rPh sb="5" eb="7">
      <t>ユウコウ</t>
    </rPh>
    <rPh sb="9" eb="11">
      <t>カツヨウ</t>
    </rPh>
    <rPh sb="17" eb="18">
      <t>サイワ</t>
    </rPh>
    <phoneticPr fontId="3"/>
  </si>
  <si>
    <t>★ ２０２３年８月１日現在の法律を基準に作成しています！　</t>
    <rPh sb="6" eb="7">
      <t>ネン</t>
    </rPh>
    <rPh sb="8" eb="9">
      <t>ガツ</t>
    </rPh>
    <rPh sb="10" eb="11">
      <t>ニチ</t>
    </rPh>
    <rPh sb="11" eb="13">
      <t>ゲンザイ</t>
    </rPh>
    <rPh sb="14" eb="16">
      <t>ホウリツ</t>
    </rPh>
    <rPh sb="17" eb="19">
      <t>キジュン</t>
    </rPh>
    <rPh sb="20" eb="22">
      <t>サクセイ</t>
    </rPh>
    <phoneticPr fontId="3"/>
  </si>
  <si>
    <r>
      <t xml:space="preserve">★ </t>
    </r>
    <r>
      <rPr>
        <b/>
        <u/>
        <sz val="12"/>
        <color rgb="FFFF0000"/>
        <rFont val="ＭＳ Ｐゴシック"/>
        <family val="3"/>
        <charset val="128"/>
      </rPr>
      <t>２０２３年８月１日現在</t>
    </r>
    <r>
      <rPr>
        <b/>
        <u/>
        <sz val="12"/>
        <rFont val="ＭＳ Ｐゴシック"/>
        <family val="3"/>
        <charset val="128"/>
      </rPr>
      <t>の法律基準によるシミュレーションのチェックポイント</t>
    </r>
    <rPh sb="6" eb="7">
      <t>ネン</t>
    </rPh>
    <rPh sb="8" eb="9">
      <t>ガツ</t>
    </rPh>
    <rPh sb="10" eb="11">
      <t>ニチ</t>
    </rPh>
    <rPh sb="11" eb="13">
      <t>ゲンザイ</t>
    </rPh>
    <rPh sb="14" eb="16">
      <t>ホウリツ</t>
    </rPh>
    <rPh sb="16" eb="18">
      <t>キジュン</t>
    </rPh>
    <phoneticPr fontId="3"/>
  </si>
  <si>
    <t>従業員への説明資料作成に、本ソフトをご活用下さい！</t>
    <rPh sb="0" eb="3">
      <t>ジュウギョウイン</t>
    </rPh>
    <rPh sb="5" eb="7">
      <t>セツメイ</t>
    </rPh>
    <rPh sb="7" eb="9">
      <t>シリョウ</t>
    </rPh>
    <rPh sb="9" eb="11">
      <t>サクセイ</t>
    </rPh>
    <rPh sb="13" eb="14">
      <t>ホン</t>
    </rPh>
    <rPh sb="19" eb="21">
      <t>カツヨウ</t>
    </rPh>
    <rPh sb="21" eb="22">
      <t>クダ</t>
    </rPh>
    <phoneticPr fontId="3"/>
  </si>
  <si>
    <t>目に見えるデータを示しながら、本人への意向確認を行うことができます。</t>
    <rPh sb="0" eb="1">
      <t>メ</t>
    </rPh>
    <rPh sb="2" eb="3">
      <t>ミ</t>
    </rPh>
    <rPh sb="9" eb="10">
      <t>シメ</t>
    </rPh>
    <rPh sb="24" eb="25">
      <t>オコナ</t>
    </rPh>
    <phoneticPr fontId="3"/>
  </si>
  <si>
    <r>
      <t>　</t>
    </r>
    <r>
      <rPr>
        <u/>
        <sz val="18"/>
        <color rgb="FF0000CC"/>
        <rFont val="ＭＳ Ｐゴシック"/>
        <family val="3"/>
        <charset val="128"/>
      </rPr>
      <t>手取り年収</t>
    </r>
    <rPh sb="1" eb="3">
      <t>テド</t>
    </rPh>
    <rPh sb="4" eb="6">
      <t>ネンシュウ</t>
    </rPh>
    <phoneticPr fontId="3"/>
  </si>
  <si>
    <t>※選択「２」でも、週所定労働時間３０時間以上は自動的に勤務先の社会保険料計算！</t>
    <rPh sb="1" eb="3">
      <t>センタク</t>
    </rPh>
    <rPh sb="9" eb="10">
      <t>シュウ</t>
    </rPh>
    <rPh sb="10" eb="12">
      <t>ショテイ</t>
    </rPh>
    <rPh sb="12" eb="14">
      <t>ロウドウ</t>
    </rPh>
    <rPh sb="14" eb="16">
      <t>ジカン</t>
    </rPh>
    <rPh sb="18" eb="20">
      <t>ジカン</t>
    </rPh>
    <rPh sb="20" eb="22">
      <t>イジョウ</t>
    </rPh>
    <rPh sb="23" eb="26">
      <t>ジドウテキ</t>
    </rPh>
    <rPh sb="27" eb="30">
      <t>キンムサキ</t>
    </rPh>
    <rPh sb="31" eb="35">
      <t>シャカイホケン</t>
    </rPh>
    <rPh sb="35" eb="36">
      <t>リョウ</t>
    </rPh>
    <rPh sb="36" eb="38">
      <t>ケイサン</t>
    </rPh>
    <phoneticPr fontId="3"/>
  </si>
  <si>
    <t>介護保険料</t>
    <rPh sb="0" eb="4">
      <t>カイゴホケン</t>
    </rPh>
    <rPh sb="4" eb="5">
      <t>リョウ</t>
    </rPh>
    <phoneticPr fontId="3"/>
  </si>
  <si>
    <t>介護保険料負担開始年齢</t>
    <rPh sb="0" eb="2">
      <t>カイゴ</t>
    </rPh>
    <rPh sb="2" eb="5">
      <t>ホケンリョウ</t>
    </rPh>
    <rPh sb="5" eb="7">
      <t>フタン</t>
    </rPh>
    <rPh sb="7" eb="9">
      <t>カイシ</t>
    </rPh>
    <rPh sb="9" eb="11">
      <t>ネンレイ</t>
    </rPh>
    <phoneticPr fontId="3"/>
  </si>
  <si>
    <t>所得税基礎控除額</t>
    <rPh sb="0" eb="3">
      <t>ショトクゼイ</t>
    </rPh>
    <rPh sb="3" eb="8">
      <t>キソコウジョガク</t>
    </rPh>
    <phoneticPr fontId="3"/>
  </si>
  <si>
    <t>住民税基礎控除額</t>
    <rPh sb="0" eb="3">
      <t>ジュウミンゼイ</t>
    </rPh>
    <rPh sb="3" eb="8">
      <t>キソコウジョガク</t>
    </rPh>
    <phoneticPr fontId="3"/>
  </si>
  <si>
    <t>納税者本人の合計所得金額　2,400万円以下</t>
    <phoneticPr fontId="3"/>
  </si>
  <si>
    <t>どこの地域でも原則43万円</t>
    <phoneticPr fontId="3"/>
  </si>
  <si>
    <t>復興特別所得税</t>
  </si>
  <si>
    <t>【合計課税所得金額が200万円以下の場合】</t>
    <phoneticPr fontId="3"/>
  </si>
  <si>
    <t>【合計課税所得金額が200万円を超える場合】</t>
    <phoneticPr fontId="3"/>
  </si>
  <si>
    <t>参照値</t>
    <rPh sb="0" eb="3">
      <t>サンショウチ</t>
    </rPh>
    <phoneticPr fontId="3"/>
  </si>
  <si>
    <t>次の1,2のいずれか少ない金額の5％が調整控除額
　1.人的控除額の差額の合計金額
　2.合計所得金額</t>
    <phoneticPr fontId="3"/>
  </si>
  <si>
    <t>【人的控除額の差額の合計金額－（合計課税所得金額－200万円）】×5％
ただし、計算結果が2,500円未満のときは、2,500円。</t>
    <phoneticPr fontId="3"/>
  </si>
  <si>
    <t>住民税 調整控除の計算方法</t>
    <rPh sb="0" eb="3">
      <t>ジュウミンゼイ</t>
    </rPh>
    <phoneticPr fontId="3"/>
  </si>
  <si>
    <t>厚生年金・健保保険料率に変更があれば修正入力します！</t>
    <rPh sb="0" eb="2">
      <t>コウセイ</t>
    </rPh>
    <rPh sb="2" eb="4">
      <t>ネンキン</t>
    </rPh>
    <rPh sb="5" eb="7">
      <t>ケンポ</t>
    </rPh>
    <rPh sb="7" eb="10">
      <t>ホケンリョウ</t>
    </rPh>
    <rPh sb="10" eb="11">
      <t>リツ</t>
    </rPh>
    <rPh sb="12" eb="14">
      <t>ヘンコウ</t>
    </rPh>
    <rPh sb="18" eb="20">
      <t>シュウセイ</t>
    </rPh>
    <rPh sb="20" eb="22">
      <t>ニュウリョク</t>
    </rPh>
    <phoneticPr fontId="3"/>
  </si>
  <si>
    <t>【手　順】</t>
    <rPh sb="1" eb="2">
      <t>テ</t>
    </rPh>
    <rPh sb="3" eb="4">
      <t>ジュン</t>
    </rPh>
    <phoneticPr fontId="3"/>
  </si>
  <si>
    <r>
      <t xml:space="preserve">② </t>
    </r>
    <r>
      <rPr>
        <b/>
        <sz val="12"/>
        <color rgb="FF0000FF"/>
        <rFont val="ＭＳ Ｐゴシック"/>
        <family val="3"/>
        <charset val="128"/>
      </rPr>
      <t>従業員コード番号、氏名、個別に該当する地方税の市区町村名</t>
    </r>
    <r>
      <rPr>
        <b/>
        <sz val="12"/>
        <color rgb="FFFF0000"/>
        <rFont val="ＭＳ Ｐゴシック"/>
        <family val="3"/>
        <charset val="128"/>
      </rPr>
      <t>（注1）</t>
    </r>
    <r>
      <rPr>
        <b/>
        <sz val="12"/>
        <color theme="1"/>
        <rFont val="ＭＳ Ｐゴシック"/>
        <family val="3"/>
        <charset val="128"/>
      </rPr>
      <t>、</t>
    </r>
    <r>
      <rPr>
        <b/>
        <sz val="12"/>
        <color rgb="FF0000FF"/>
        <rFont val="ＭＳ Ｐゴシック"/>
        <family val="3"/>
        <charset val="128"/>
      </rPr>
      <t>生年月日、入社年月日、週所定労働日数、週所定労働時間数</t>
    </r>
    <r>
      <rPr>
        <b/>
        <sz val="12"/>
        <color theme="1"/>
        <rFont val="ＭＳ Ｐゴシック"/>
        <family val="3"/>
        <charset val="128"/>
      </rPr>
      <t>、</t>
    </r>
    <rPh sb="2" eb="5">
      <t>ジュウギョウイン</t>
    </rPh>
    <rPh sb="8" eb="10">
      <t>バンゴウ</t>
    </rPh>
    <rPh sb="11" eb="13">
      <t>シメイ</t>
    </rPh>
    <rPh sb="14" eb="16">
      <t>コベツ</t>
    </rPh>
    <rPh sb="17" eb="19">
      <t>ガイトウ</t>
    </rPh>
    <rPh sb="21" eb="24">
      <t>チホウゼイ</t>
    </rPh>
    <rPh sb="25" eb="29">
      <t>シクチョウソン</t>
    </rPh>
    <rPh sb="29" eb="30">
      <t>メイ</t>
    </rPh>
    <rPh sb="31" eb="32">
      <t>チュウ</t>
    </rPh>
    <rPh sb="35" eb="37">
      <t>セイネン</t>
    </rPh>
    <rPh sb="37" eb="39">
      <t>ガッピ</t>
    </rPh>
    <rPh sb="40" eb="42">
      <t>ニュウシャ</t>
    </rPh>
    <rPh sb="42" eb="45">
      <t>ネンガッピ</t>
    </rPh>
    <rPh sb="46" eb="47">
      <t>シュウ</t>
    </rPh>
    <rPh sb="47" eb="53">
      <t>ショテイロウドウニッスウ</t>
    </rPh>
    <rPh sb="54" eb="61">
      <t>シュウショテイロウドウジカン</t>
    </rPh>
    <rPh sb="61" eb="62">
      <t>スウ</t>
    </rPh>
    <phoneticPr fontId="3"/>
  </si>
  <si>
    <r>
      <t xml:space="preserve">① </t>
    </r>
    <r>
      <rPr>
        <b/>
        <u/>
        <sz val="14"/>
        <rFont val="ＭＳ Ｐゴシック"/>
        <family val="3"/>
        <charset val="128"/>
      </rPr>
      <t>使用を開始する前にセルの「ロック」を解除して、シートの保護の再設定のお願いします！</t>
    </r>
    <phoneticPr fontId="3"/>
  </si>
  <si>
    <t>★セルの書式設定で入力セルを「ロック」しています。解除してください。</t>
    <rPh sb="4" eb="6">
      <t>ショシキ</t>
    </rPh>
    <rPh sb="6" eb="8">
      <t>セッテイ</t>
    </rPh>
    <rPh sb="9" eb="11">
      <t>ニュウリョク</t>
    </rPh>
    <rPh sb="25" eb="27">
      <t>カイジョ</t>
    </rPh>
    <phoneticPr fontId="3"/>
  </si>
  <si>
    <r>
      <rPr>
        <b/>
        <sz val="14"/>
        <color rgb="FF0000FF"/>
        <rFont val="ＭＳ Ｐゴシック"/>
        <family val="3"/>
        <charset val="128"/>
      </rPr>
      <t xml:space="preserve">   </t>
    </r>
    <r>
      <rPr>
        <b/>
        <u/>
        <sz val="14"/>
        <color indexed="12"/>
        <rFont val="ＭＳ Ｐゴシック"/>
        <family val="3"/>
        <charset val="128"/>
      </rPr>
      <t>青字＝入力セル</t>
    </r>
    <rPh sb="3" eb="4">
      <t>アオ</t>
    </rPh>
    <rPh sb="4" eb="5">
      <t>ジ</t>
    </rPh>
    <rPh sb="6" eb="8">
      <t>ニュウリョク</t>
    </rPh>
    <phoneticPr fontId="3"/>
  </si>
  <si>
    <t>改訂後
時間給</t>
    <rPh sb="0" eb="3">
      <t>カイテイゴ</t>
    </rPh>
    <rPh sb="4" eb="7">
      <t>ジカンキュウ</t>
    </rPh>
    <phoneticPr fontId="3"/>
  </si>
  <si>
    <t>週所定労働時間延長シミュレーション</t>
    <rPh sb="0" eb="1">
      <t>シュウ</t>
    </rPh>
    <rPh sb="1" eb="7">
      <t>ショテイロウドウジカン</t>
    </rPh>
    <rPh sb="7" eb="9">
      <t>エンチョウ</t>
    </rPh>
    <phoneticPr fontId="3"/>
  </si>
  <si>
    <t>所定労働時間／週</t>
    <rPh sb="0" eb="2">
      <t>ショテイ</t>
    </rPh>
    <rPh sb="1" eb="2">
      <t>マドコロ</t>
    </rPh>
    <rPh sb="2" eb="6">
      <t>ロウドウジカン</t>
    </rPh>
    <rPh sb="7" eb="8">
      <t>シュウ</t>
    </rPh>
    <phoneticPr fontId="3"/>
  </si>
  <si>
    <t>所定労働時間／年</t>
    <rPh sb="0" eb="2">
      <t>ショテイ</t>
    </rPh>
    <rPh sb="2" eb="6">
      <t>ロウドウジカン</t>
    </rPh>
    <rPh sb="7" eb="8">
      <t>ネン</t>
    </rPh>
    <phoneticPr fontId="3"/>
  </si>
  <si>
    <t>昇給額
（案）</t>
    <rPh sb="0" eb="2">
      <t>ショウキュウ</t>
    </rPh>
    <rPh sb="2" eb="3">
      <t>ガク</t>
    </rPh>
    <rPh sb="5" eb="6">
      <t>アン</t>
    </rPh>
    <phoneticPr fontId="3"/>
  </si>
  <si>
    <t>時間給
（現行）</t>
    <rPh sb="0" eb="3">
      <t>ジカンキュウ</t>
    </rPh>
    <rPh sb="5" eb="7">
      <t>ゲンコウ</t>
    </rPh>
    <phoneticPr fontId="3"/>
  </si>
  <si>
    <t>時間給（現行）</t>
    <rPh sb="0" eb="2">
      <t>ジカン</t>
    </rPh>
    <rPh sb="2" eb="3">
      <t>キュウ</t>
    </rPh>
    <rPh sb="4" eb="6">
      <t>ゲンコウ</t>
    </rPh>
    <phoneticPr fontId="3"/>
  </si>
  <si>
    <t>昇給額（案）</t>
    <rPh sb="0" eb="2">
      <t>ショウキュウ</t>
    </rPh>
    <rPh sb="2" eb="3">
      <t>ガク</t>
    </rPh>
    <rPh sb="4" eb="5">
      <t>アン</t>
    </rPh>
    <phoneticPr fontId="3"/>
  </si>
  <si>
    <t>改訂後時間給</t>
    <rPh sb="0" eb="3">
      <t>カイテイゴ</t>
    </rPh>
    <rPh sb="3" eb="6">
      <t>ジカンキュウ</t>
    </rPh>
    <phoneticPr fontId="3"/>
  </si>
  <si>
    <t>１ヵ月給与総額
諸手当算入
（月収算定基準）</t>
    <rPh sb="0" eb="3">
      <t>イッカゲツ</t>
    </rPh>
    <rPh sb="3" eb="5">
      <t>キュウヨ</t>
    </rPh>
    <rPh sb="5" eb="7">
      <t>ソウガク</t>
    </rPh>
    <rPh sb="8" eb="11">
      <t>ショテアテ</t>
    </rPh>
    <rPh sb="11" eb="13">
      <t>サンニュウ</t>
    </rPh>
    <rPh sb="15" eb="17">
      <t>ゲッシュウ</t>
    </rPh>
    <rPh sb="17" eb="19">
      <t>サンテイ</t>
    </rPh>
    <rPh sb="19" eb="21">
      <t>キジュン</t>
    </rPh>
    <phoneticPr fontId="3"/>
  </si>
  <si>
    <t>条件付き書式設定！</t>
    <phoneticPr fontId="3"/>
  </si>
  <si>
    <t>100万円以下</t>
    <rPh sb="3" eb="5">
      <t>マンエン</t>
    </rPh>
    <rPh sb="5" eb="7">
      <t>イカ</t>
    </rPh>
    <phoneticPr fontId="3"/>
  </si>
  <si>
    <t>100万円より大</t>
    <rPh sb="3" eb="5">
      <t>マンエン</t>
    </rPh>
    <rPh sb="7" eb="8">
      <t>ダイ</t>
    </rPh>
    <phoneticPr fontId="3"/>
  </si>
  <si>
    <t>130万円以上</t>
    <rPh sb="3" eb="5">
      <t>マンエン</t>
    </rPh>
    <rPh sb="5" eb="7">
      <t>イジョウ</t>
    </rPh>
    <phoneticPr fontId="3"/>
  </si>
  <si>
    <t>103万円より大</t>
    <rPh sb="3" eb="5">
      <t>マンエン</t>
    </rPh>
    <rPh sb="7" eb="8">
      <t>ダイ</t>
    </rPh>
    <phoneticPr fontId="3"/>
  </si>
  <si>
    <t>-</t>
    <phoneticPr fontId="3"/>
  </si>
  <si>
    <t>手取り年
収増減</t>
    <rPh sb="0" eb="2">
      <t>テド</t>
    </rPh>
    <rPh sb="3" eb="4">
      <t>ネン</t>
    </rPh>
    <rPh sb="5" eb="6">
      <t>オサム</t>
    </rPh>
    <rPh sb="6" eb="8">
      <t>ゾウゲン</t>
    </rPh>
    <phoneticPr fontId="3"/>
  </si>
  <si>
    <t>週所定労働時間（35H上限設定）</t>
    <rPh sb="0" eb="1">
      <t>シュウ</t>
    </rPh>
    <rPh sb="1" eb="7">
      <t>ショテイロウドウジカン</t>
    </rPh>
    <rPh sb="11" eb="13">
      <t>ジョウゲン</t>
    </rPh>
    <rPh sb="13" eb="15">
      <t>セッテイ</t>
    </rPh>
    <phoneticPr fontId="3"/>
  </si>
  <si>
    <t>　円</t>
    <rPh sb="1" eb="2">
      <t>エン</t>
    </rPh>
    <phoneticPr fontId="3"/>
  </si>
  <si>
    <t>住民税の壁</t>
    <rPh sb="0" eb="3">
      <t>ジュウミンゼイ</t>
    </rPh>
    <rPh sb="4" eb="5">
      <t>カベ</t>
    </rPh>
    <phoneticPr fontId="3"/>
  </si>
  <si>
    <t>所得税の壁</t>
    <rPh sb="0" eb="3">
      <t>ショトクゼイ</t>
    </rPh>
    <rPh sb="4" eb="5">
      <t>カベ</t>
    </rPh>
    <phoneticPr fontId="3"/>
  </si>
  <si>
    <t>国保・国年の壁</t>
    <rPh sb="0" eb="2">
      <t>コクホ</t>
    </rPh>
    <rPh sb="3" eb="5">
      <t>コクネン</t>
    </rPh>
    <rPh sb="6" eb="7">
      <t>カベ</t>
    </rPh>
    <phoneticPr fontId="3"/>
  </si>
  <si>
    <t>106万円以上</t>
    <rPh sb="3" eb="4">
      <t>マン</t>
    </rPh>
    <rPh sb="4" eb="5">
      <t>エン</t>
    </rPh>
    <rPh sb="5" eb="7">
      <t>イジョウ</t>
    </rPh>
    <phoneticPr fontId="3"/>
  </si>
  <si>
    <t>社会保険加入の壁 8.8万円/月</t>
    <rPh sb="0" eb="4">
      <t>シャカイホケン</t>
    </rPh>
    <rPh sb="4" eb="6">
      <t>カニュウ</t>
    </rPh>
    <rPh sb="7" eb="8">
      <t>カベ</t>
    </rPh>
    <rPh sb="12" eb="14">
      <t>マンエン</t>
    </rPh>
    <rPh sb="15" eb="16">
      <t>ツキ</t>
    </rPh>
    <phoneticPr fontId="3"/>
  </si>
  <si>
    <t>被用者区分</t>
    <rPh sb="0" eb="3">
      <t>ヒヨウシャ</t>
    </rPh>
    <rPh sb="3" eb="5">
      <t>クブン</t>
    </rPh>
    <phoneticPr fontId="3"/>
  </si>
  <si>
    <t>会社の社会保険に加入！</t>
    <rPh sb="8" eb="10">
      <t>カニュウ</t>
    </rPh>
    <phoneticPr fontId="3"/>
  </si>
  <si>
    <t>国保・国年に加入！</t>
    <phoneticPr fontId="3"/>
  </si>
  <si>
    <t>条件付き書式設定（Ｈ列）！</t>
    <rPh sb="10" eb="11">
      <t>レツ</t>
    </rPh>
    <phoneticPr fontId="3"/>
  </si>
  <si>
    <t>5１人未満以上の会社</t>
    <rPh sb="2" eb="3">
      <t>ニン</t>
    </rPh>
    <rPh sb="3" eb="5">
      <t>ミマン</t>
    </rPh>
    <rPh sb="5" eb="7">
      <t>イジョウ</t>
    </rPh>
    <rPh sb="8" eb="10">
      <t>カイシャ</t>
    </rPh>
    <phoneticPr fontId="3"/>
  </si>
  <si>
    <t>※選択「２」は、自動的に国保・国年と会社の被用者保険を区分して社会保険料計算！</t>
    <rPh sb="1" eb="3">
      <t>センタク</t>
    </rPh>
    <rPh sb="8" eb="11">
      <t>ジドウテキ</t>
    </rPh>
    <rPh sb="12" eb="14">
      <t>コクホ</t>
    </rPh>
    <rPh sb="15" eb="17">
      <t>コクネン</t>
    </rPh>
    <rPh sb="18" eb="20">
      <t>カイシャ</t>
    </rPh>
    <rPh sb="21" eb="24">
      <t>ヒヨウシャ</t>
    </rPh>
    <rPh sb="24" eb="26">
      <t>ホケン</t>
    </rPh>
    <rPh sb="27" eb="29">
      <t>クブン</t>
    </rPh>
    <rPh sb="31" eb="35">
      <t>シャカイホケン</t>
    </rPh>
    <rPh sb="35" eb="36">
      <t>リョウ</t>
    </rPh>
    <rPh sb="36" eb="38">
      <t>ケイサン</t>
    </rPh>
    <phoneticPr fontId="3"/>
  </si>
  <si>
    <t>3-1手当等支給メニュー</t>
    <rPh sb="3" eb="5">
      <t>テアテ</t>
    </rPh>
    <rPh sb="5" eb="6">
      <t>トウ</t>
    </rPh>
    <rPh sb="6" eb="8">
      <t>シキュウ</t>
    </rPh>
    <phoneticPr fontId="3"/>
  </si>
  <si>
    <t>4-1労働時間延長メニュー</t>
    <rPh sb="3" eb="9">
      <t>ロウドウジカンエンチョウ</t>
    </rPh>
    <phoneticPr fontId="3"/>
  </si>
  <si>
    <t>5-1併用メニュー</t>
    <rPh sb="3" eb="5">
      <t>ヘイヨウ</t>
    </rPh>
    <phoneticPr fontId="3"/>
  </si>
  <si>
    <t>手当等支給メニュー</t>
    <rPh sb="0" eb="5">
      <t>テアテトウシキュウ</t>
    </rPh>
    <phoneticPr fontId="3"/>
  </si>
  <si>
    <t>労働時間延長メニュー</t>
    <rPh sb="0" eb="6">
      <t>ロウドウジカンエンチョウ</t>
    </rPh>
    <phoneticPr fontId="3"/>
  </si>
  <si>
    <t>併用メニュー</t>
    <rPh sb="0" eb="2">
      <t>ヘイヨウ</t>
    </rPh>
    <phoneticPr fontId="3"/>
  </si>
  <si>
    <t>★ 昇給後の時間給で年収＆手取り年収をシミュレーション
★ 被扶養130万円以上で国保・国保加入
★ 所定労働時間３０時間以上で会社の社会保険に加入</t>
    <rPh sb="2" eb="4">
      <t>ショウキュウ</t>
    </rPh>
    <rPh sb="4" eb="5">
      <t>ゴ</t>
    </rPh>
    <rPh sb="6" eb="9">
      <t>ジカンキュウ</t>
    </rPh>
    <rPh sb="30" eb="33">
      <t>ヒフヨウ</t>
    </rPh>
    <rPh sb="36" eb="38">
      <t>マンエン</t>
    </rPh>
    <rPh sb="38" eb="40">
      <t>イジョウ</t>
    </rPh>
    <rPh sb="41" eb="43">
      <t>コクホ</t>
    </rPh>
    <rPh sb="44" eb="46">
      <t>コクホ</t>
    </rPh>
    <rPh sb="46" eb="48">
      <t>カニュウ</t>
    </rPh>
    <rPh sb="51" eb="57">
      <t>ショテイロウドウジカン</t>
    </rPh>
    <rPh sb="59" eb="61">
      <t>ジカン</t>
    </rPh>
    <rPh sb="61" eb="63">
      <t>イジョウ</t>
    </rPh>
    <rPh sb="64" eb="66">
      <t>カイシャ</t>
    </rPh>
    <rPh sb="67" eb="71">
      <t>シャカイホケン</t>
    </rPh>
    <rPh sb="72" eb="74">
      <t>カニュウ</t>
    </rPh>
    <phoneticPr fontId="3"/>
  </si>
  <si>
    <t>★ 社会保険適用拡大後の事業所の社会保険加入後の年収＆手取り年収をシミュレーション
★ 社会保険促進手当支給メニューでシミュレーション</t>
    <rPh sb="4" eb="6">
      <t>シャカイ</t>
    </rPh>
    <rPh sb="6" eb="8">
      <t>ホケン</t>
    </rPh>
    <rPh sb="8" eb="10">
      <t>テキヨウ</t>
    </rPh>
    <rPh sb="10" eb="12">
      <t>カクダイ</t>
    </rPh>
    <rPh sb="12" eb="13">
      <t>ゴ</t>
    </rPh>
    <rPh sb="14" eb="17">
      <t>ジギョウショ</t>
    </rPh>
    <rPh sb="18" eb="20">
      <t>シャカイ</t>
    </rPh>
    <rPh sb="20" eb="22">
      <t>ホケン</t>
    </rPh>
    <rPh sb="22" eb="24">
      <t>カニュウ</t>
    </rPh>
    <rPh sb="24" eb="25">
      <t>ゴ</t>
    </rPh>
    <rPh sb="26" eb="28">
      <t>ネンシュウ</t>
    </rPh>
    <rPh sb="29" eb="31">
      <t>テド</t>
    </rPh>
    <rPh sb="32" eb="34">
      <t>ネンシュウ</t>
    </rPh>
    <phoneticPr fontId="3"/>
  </si>
  <si>
    <t>★ 社会保険適用拡大後の事業所の社会保険加入後の年収＆手取り年収をシミュレーション
★ １年目は社会保険適用促進手当支給した後、２年目は時間延長と時間給増でシミュレーション</t>
    <rPh sb="45" eb="47">
      <t>ネンメ</t>
    </rPh>
    <rPh sb="48" eb="52">
      <t>シャカイホケン</t>
    </rPh>
    <rPh sb="52" eb="58">
      <t>テキヨウソクシンテアテ</t>
    </rPh>
    <rPh sb="58" eb="60">
      <t>シキュウ</t>
    </rPh>
    <rPh sb="62" eb="63">
      <t>ノチ</t>
    </rPh>
    <rPh sb="65" eb="67">
      <t>ネンメ</t>
    </rPh>
    <rPh sb="68" eb="72">
      <t>ジカンエンチョウ</t>
    </rPh>
    <rPh sb="73" eb="76">
      <t>ジカンキュウ</t>
    </rPh>
    <rPh sb="76" eb="77">
      <t>ゾウ</t>
    </rPh>
    <phoneticPr fontId="3"/>
  </si>
  <si>
    <t>適用拡大の未適用</t>
    <rPh sb="0" eb="4">
      <t>テキヨウカクダイ</t>
    </rPh>
    <rPh sb="5" eb="8">
      <t>ミテキヨウ</t>
    </rPh>
    <phoneticPr fontId="3"/>
  </si>
  <si>
    <t>適用拡大の適用</t>
    <rPh sb="0" eb="4">
      <t>テキヨウカクダイ</t>
    </rPh>
    <rPh sb="5" eb="7">
      <t>テキヨウ</t>
    </rPh>
    <phoneticPr fontId="3"/>
  </si>
  <si>
    <t>★選択 「２」は、原則として扶養内、ただし年収130万円以上で扶養を外れ国保・国年に加入となる。
★週所定労働時間30時間以上で、勤務先の社会保険に加入します。</t>
    <rPh sb="50" eb="57">
      <t>シュウショテイロウドウジカン</t>
    </rPh>
    <rPh sb="59" eb="61">
      <t>ジカン</t>
    </rPh>
    <rPh sb="61" eb="63">
      <t>イジョウ</t>
    </rPh>
    <phoneticPr fontId="3"/>
  </si>
  <si>
    <r>
      <t>社保料・雇用保険料合計2</t>
    </r>
    <r>
      <rPr>
        <b/>
        <sz val="11"/>
        <color theme="1"/>
        <rFont val="ＭＳ Ｐゴシック"/>
        <family val="3"/>
        <charset val="128"/>
      </rPr>
      <t>（年間）</t>
    </r>
    <rPh sb="0" eb="1">
      <t>シャ</t>
    </rPh>
    <rPh sb="1" eb="2">
      <t>タモツ</t>
    </rPh>
    <rPh sb="2" eb="3">
      <t>リョウ</t>
    </rPh>
    <rPh sb="4" eb="9">
      <t>コヨウホケンリョウ</t>
    </rPh>
    <rPh sb="9" eb="11">
      <t>ゴウケイ</t>
    </rPh>
    <rPh sb="13" eb="15">
      <t>ネンカン</t>
    </rPh>
    <phoneticPr fontId="3"/>
  </si>
  <si>
    <t>★ 「１」は、年収106万円（月収8.8万円）以上・週所定労働時間２０時間以上で勤務先の社会保険に加入にします。
★ 週所定労働時間２０時間未満は扶養内となる。
 　ただし年収130万円以上だと扶養を外れ国保・国年に加入となる。</t>
    <phoneticPr fontId="3"/>
  </si>
  <si>
    <t>※ ５０人以下の会社
（当面は社会保険適用拡大が未適用）</t>
    <rPh sb="4" eb="5">
      <t>ニン</t>
    </rPh>
    <rPh sb="5" eb="7">
      <t>イカ</t>
    </rPh>
    <rPh sb="8" eb="10">
      <t>カイシャ</t>
    </rPh>
    <rPh sb="12" eb="14">
      <t>トウメン</t>
    </rPh>
    <phoneticPr fontId="3"/>
  </si>
  <si>
    <t>※ ５１人以上１００人以下の会社（2024.10.1からの社会保険適用拡大が決まっている）</t>
    <rPh sb="4" eb="5">
      <t>ニン</t>
    </rPh>
    <rPh sb="5" eb="7">
      <t>イジョウ</t>
    </rPh>
    <rPh sb="10" eb="11">
      <t>ニン</t>
    </rPh>
    <rPh sb="11" eb="13">
      <t>イカ</t>
    </rPh>
    <rPh sb="14" eb="16">
      <t>カイシャ</t>
    </rPh>
    <rPh sb="38" eb="39">
      <t>キ</t>
    </rPh>
    <phoneticPr fontId="3"/>
  </si>
  <si>
    <t>※ １０１人以上の会社
（既に社会保険適用拡大が
適用されている）</t>
    <rPh sb="5" eb="6">
      <t>ニン</t>
    </rPh>
    <rPh sb="6" eb="8">
      <t>イジョウ</t>
    </rPh>
    <rPh sb="9" eb="11">
      <t>カイシャ</t>
    </rPh>
    <rPh sb="13" eb="14">
      <t>スデ</t>
    </rPh>
    <phoneticPr fontId="3"/>
  </si>
  <si>
    <t>★ ２ヵ月以上の雇用が見込まれる者</t>
    <rPh sb="4" eb="5">
      <t>ゲツ</t>
    </rPh>
    <rPh sb="16" eb="17">
      <t>モノ</t>
    </rPh>
    <phoneticPr fontId="3"/>
  </si>
  <si>
    <t>★ 賃金の月額が88,000円以上である者（いわゆる１０６万円の壁）</t>
    <rPh sb="20" eb="21">
      <t>モノ</t>
    </rPh>
    <rPh sb="29" eb="30">
      <t>マン</t>
    </rPh>
    <rPh sb="30" eb="31">
      <t>エン</t>
    </rPh>
    <rPh sb="32" eb="33">
      <t>カベ</t>
    </rPh>
    <phoneticPr fontId="3"/>
  </si>
  <si>
    <t>★ 学生でない者</t>
    <rPh sb="7" eb="8">
      <t>モノ</t>
    </rPh>
    <phoneticPr fontId="3"/>
  </si>
  <si>
    <t>ＡＡ</t>
    <phoneticPr fontId="3"/>
  </si>
  <si>
    <t>ＡＢ</t>
    <phoneticPr fontId="3"/>
  </si>
  <si>
    <t>ＡＣ</t>
    <phoneticPr fontId="3"/>
  </si>
  <si>
    <t>ＡＤ</t>
    <phoneticPr fontId="3"/>
  </si>
  <si>
    <t>ＡＥ</t>
    <phoneticPr fontId="3"/>
  </si>
  <si>
    <t>　株式会社　</t>
    <rPh sb="1" eb="3">
      <t>カブシキ</t>
    </rPh>
    <rPh sb="3" eb="5">
      <t>カイシャ</t>
    </rPh>
    <phoneticPr fontId="3"/>
  </si>
  <si>
    <t>　代表取締役社長</t>
    <rPh sb="1" eb="3">
      <t>ダイヒョウ</t>
    </rPh>
    <rPh sb="3" eb="6">
      <t>トリシマリヤク</t>
    </rPh>
    <rPh sb="6" eb="8">
      <t>シャチョウ</t>
    </rPh>
    <phoneticPr fontId="3"/>
  </si>
  <si>
    <r>
      <t>社保料・雇用保険料等合計</t>
    </r>
    <r>
      <rPr>
        <b/>
        <sz val="12"/>
        <color theme="1"/>
        <rFont val="ＭＳ Ｐゴシック"/>
        <family val="3"/>
        <charset val="128"/>
      </rPr>
      <t>（年間）</t>
    </r>
    <rPh sb="0" eb="1">
      <t>シャ</t>
    </rPh>
    <rPh sb="1" eb="2">
      <t>タモツ</t>
    </rPh>
    <rPh sb="2" eb="3">
      <t>リョウ</t>
    </rPh>
    <rPh sb="4" eb="9">
      <t>コヨウホケンリョウ</t>
    </rPh>
    <rPh sb="9" eb="10">
      <t>トウ</t>
    </rPh>
    <rPh sb="10" eb="12">
      <t>ゴウケイ</t>
    </rPh>
    <rPh sb="13" eb="15">
      <t>ネンカン</t>
    </rPh>
    <phoneticPr fontId="3"/>
  </si>
  <si>
    <t>4-１．労働時間延長メニュー</t>
    <rPh sb="4" eb="10">
      <t>ロウドウジカンエンチョウ</t>
    </rPh>
    <phoneticPr fontId="3"/>
  </si>
  <si>
    <t>４-０．設定　仕様概要</t>
    <rPh sb="4" eb="6">
      <t>セッテイ</t>
    </rPh>
    <rPh sb="7" eb="11">
      <t>シヨウガイヨウ</t>
    </rPh>
    <phoneticPr fontId="3"/>
  </si>
  <si>
    <t>4-２．労働時間延長メニュー　お知らせ！</t>
    <rPh sb="4" eb="10">
      <t>ロウドウジカンエンチョウ</t>
    </rPh>
    <rPh sb="16" eb="17">
      <t>シ</t>
    </rPh>
    <phoneticPr fontId="3"/>
  </si>
  <si>
    <r>
      <t>キャリアアップ助成金</t>
    </r>
    <r>
      <rPr>
        <b/>
        <u/>
        <sz val="14"/>
        <color rgb="FF0000CC"/>
        <rFont val="ＭＳ Ｐゴシック"/>
        <family val="3"/>
        <charset val="128"/>
      </rPr>
      <t>（社会保険適用時処遇改善コース）活用シミュレーション</t>
    </r>
    <phoneticPr fontId="3"/>
  </si>
  <si>
    <t>３-２．所得算出参照表</t>
    <rPh sb="4" eb="6">
      <t>ショトク</t>
    </rPh>
    <rPh sb="6" eb="8">
      <t>サンシュツ</t>
    </rPh>
    <rPh sb="8" eb="10">
      <t>サンショウ</t>
    </rPh>
    <rPh sb="10" eb="11">
      <t>ヒョウ</t>
    </rPh>
    <phoneticPr fontId="3"/>
  </si>
  <si>
    <t>３-３．国民健康保険料簡易計算</t>
    <rPh sb="4" eb="10">
      <t>コクミンケンコウホケン</t>
    </rPh>
    <rPh sb="10" eb="11">
      <t>リョウ</t>
    </rPh>
    <rPh sb="11" eb="15">
      <t>カンイケイサン</t>
    </rPh>
    <phoneticPr fontId="3"/>
  </si>
  <si>
    <t>５．使用上の注意</t>
    <rPh sb="2" eb="5">
      <t>シヨウジョウ</t>
    </rPh>
    <rPh sb="6" eb="8">
      <t>チュウイ</t>
    </rPh>
    <phoneticPr fontId="3"/>
  </si>
  <si>
    <t>３-１．標準報酬月額・保険料表</t>
    <rPh sb="4" eb="6">
      <t>ヒョウジュン</t>
    </rPh>
    <rPh sb="6" eb="8">
      <t>ホウシュウ</t>
    </rPh>
    <rPh sb="8" eb="9">
      <t>ツキ</t>
    </rPh>
    <rPh sb="9" eb="10">
      <t>ガク</t>
    </rPh>
    <rPh sb="11" eb="14">
      <t>ホケンリョウ</t>
    </rPh>
    <rPh sb="14" eb="15">
      <t>ヒョウ</t>
    </rPh>
    <phoneticPr fontId="3"/>
  </si>
  <si>
    <t>★ 社会保険適用拡大後の事業所の社会保険加入後の年収＆手取り年収をシミュレーション
★ 労働時間延長メニューでシミュレーション</t>
    <rPh sb="4" eb="6">
      <t>シャカイ</t>
    </rPh>
    <rPh sb="6" eb="8">
      <t>ホケン</t>
    </rPh>
    <rPh sb="8" eb="10">
      <t>テキヨウ</t>
    </rPh>
    <rPh sb="10" eb="12">
      <t>カクダイ</t>
    </rPh>
    <rPh sb="12" eb="13">
      <t>ゴ</t>
    </rPh>
    <rPh sb="14" eb="17">
      <t>ジギョウショ</t>
    </rPh>
    <rPh sb="18" eb="20">
      <t>シャカイ</t>
    </rPh>
    <rPh sb="20" eb="22">
      <t>ホケン</t>
    </rPh>
    <rPh sb="22" eb="24">
      <t>カニュウ</t>
    </rPh>
    <rPh sb="24" eb="25">
      <t>ゴ</t>
    </rPh>
    <rPh sb="26" eb="28">
      <t>ネンシュウ</t>
    </rPh>
    <rPh sb="29" eb="31">
      <t>テド</t>
    </rPh>
    <rPh sb="32" eb="34">
      <t>ネンシュウ</t>
    </rPh>
    <rPh sb="44" eb="50">
      <t>ロウドウジカンエンチョウ</t>
    </rPh>
    <phoneticPr fontId="3"/>
  </si>
  <si>
    <t>未満</t>
    <rPh sb="0" eb="2">
      <t>ミマン</t>
    </rPh>
    <phoneticPr fontId="3"/>
  </si>
  <si>
    <t>賃金の増額</t>
    <rPh sb="0" eb="2">
      <t>チンギン</t>
    </rPh>
    <rPh sb="3" eb="5">
      <t>ゾウガク</t>
    </rPh>
    <phoneticPr fontId="3"/>
  </si>
  <si>
    <t>ー</t>
    <phoneticPr fontId="3"/>
  </si>
  <si>
    <t>賃金の増額率</t>
    <rPh sb="0" eb="2">
      <t>チンギン</t>
    </rPh>
    <rPh sb="3" eb="6">
      <t>ゾウガクリツ</t>
    </rPh>
    <phoneticPr fontId="3"/>
  </si>
  <si>
    <t>増額後の時間給</t>
    <rPh sb="0" eb="3">
      <t>ゾウガクゴ</t>
    </rPh>
    <rPh sb="4" eb="7">
      <t>ジカンキュウ</t>
    </rPh>
    <phoneticPr fontId="3"/>
  </si>
  <si>
    <t>延長労働時間</t>
    <rPh sb="0" eb="2">
      <t>エンチョウ</t>
    </rPh>
    <rPh sb="2" eb="4">
      <t>ロウドウ</t>
    </rPh>
    <rPh sb="4" eb="6">
      <t>ジカン</t>
    </rPh>
    <phoneticPr fontId="3"/>
  </si>
  <si>
    <r>
      <t>■年収１３０万円の壁 
　⇒</t>
    </r>
    <r>
      <rPr>
        <b/>
        <sz val="10"/>
        <color rgb="FFFF0000"/>
        <rFont val="ＭＳ Ｐゴシック"/>
        <family val="3"/>
        <charset val="128"/>
      </rPr>
      <t>国民健康保険・国民年金に加入！</t>
    </r>
    <r>
      <rPr>
        <b/>
        <sz val="10"/>
        <rFont val="ＭＳ Ｐゴシック"/>
        <family val="3"/>
        <charset val="128"/>
      </rPr>
      <t xml:space="preserve">
■所定労働時間 週２０時間（或いは３０時間）　⇒ </t>
    </r>
    <r>
      <rPr>
        <b/>
        <sz val="10"/>
        <color rgb="FF0000FF"/>
        <rFont val="ＭＳ Ｐゴシック"/>
        <family val="3"/>
        <charset val="128"/>
      </rPr>
      <t>会社の社会保険に加入！</t>
    </r>
    <rPh sb="14" eb="16">
      <t>コクミン</t>
    </rPh>
    <rPh sb="16" eb="20">
      <t>ケンコウホケン</t>
    </rPh>
    <rPh sb="21" eb="25">
      <t>コクミンネンキン</t>
    </rPh>
    <rPh sb="44" eb="45">
      <t>アル</t>
    </rPh>
    <rPh sb="49" eb="51">
      <t>ジカン</t>
    </rPh>
    <rPh sb="63" eb="65">
      <t>カニュウ</t>
    </rPh>
    <phoneticPr fontId="3"/>
  </si>
  <si>
    <t>図：厚生労働省ホームページ資料より抜粋</t>
    <rPh sb="0" eb="1">
      <t>ズ</t>
    </rPh>
    <rPh sb="2" eb="7">
      <t>コウセイロウドウショウ</t>
    </rPh>
    <rPh sb="13" eb="15">
      <t>シリョウ</t>
    </rPh>
    <rPh sb="17" eb="19">
      <t>バッスイ</t>
    </rPh>
    <phoneticPr fontId="3"/>
  </si>
  <si>
    <t>４．法改正に注意下さい</t>
    <rPh sb="2" eb="5">
      <t>ホウカイセイ</t>
    </rPh>
    <rPh sb="6" eb="8">
      <t>チュウイ</t>
    </rPh>
    <rPh sb="8" eb="9">
      <t>クダ</t>
    </rPh>
    <phoneticPr fontId="3"/>
  </si>
  <si>
    <t>　助成金の申請に際しては、申請内容が適正であることを、窓口にてご確認される</t>
    <rPh sb="1" eb="4">
      <t>ジョセイキン</t>
    </rPh>
    <rPh sb="5" eb="7">
      <t>シンセイ</t>
    </rPh>
    <rPh sb="8" eb="9">
      <t>サイ</t>
    </rPh>
    <rPh sb="13" eb="17">
      <t>シンセイナイヨウ</t>
    </rPh>
    <rPh sb="18" eb="20">
      <t>テキセイ</t>
    </rPh>
    <rPh sb="27" eb="29">
      <t>マドグチ</t>
    </rPh>
    <rPh sb="32" eb="34">
      <t>カクニン</t>
    </rPh>
    <phoneticPr fontId="3"/>
  </si>
  <si>
    <t>ことをお勧め致します。</t>
    <rPh sb="4" eb="5">
      <t>スス</t>
    </rPh>
    <rPh sb="6" eb="7">
      <t>イタ</t>
    </rPh>
    <phoneticPr fontId="3"/>
  </si>
  <si>
    <t>　　必ずお読みください！</t>
    <rPh sb="2" eb="3">
      <t>カナラ</t>
    </rPh>
    <rPh sb="5" eb="6">
      <t>ヨ</t>
    </rPh>
    <phoneticPr fontId="3"/>
  </si>
  <si>
    <r>
      <t>　　</t>
    </r>
    <r>
      <rPr>
        <b/>
        <sz val="12"/>
        <color rgb="FF0000FF"/>
        <rFont val="ＭＳ Ｐゴシック"/>
        <family val="3"/>
        <charset val="128"/>
      </rPr>
      <t>時間給、、昇給案、諸手当等、</t>
    </r>
    <r>
      <rPr>
        <b/>
        <sz val="12"/>
        <color theme="1"/>
        <rFont val="ＭＳ Ｐゴシック"/>
        <family val="3"/>
        <charset val="128"/>
      </rPr>
      <t>現行の社員データを入力します（必須）。</t>
    </r>
    <rPh sb="2" eb="5">
      <t>ジカンキュウ</t>
    </rPh>
    <rPh sb="7" eb="10">
      <t>ショウキュウアン</t>
    </rPh>
    <rPh sb="11" eb="14">
      <t>ショテアテ</t>
    </rPh>
    <rPh sb="14" eb="15">
      <t>トウ</t>
    </rPh>
    <rPh sb="31" eb="33">
      <t>ヒッス</t>
    </rPh>
    <phoneticPr fontId="3"/>
  </si>
  <si>
    <t>■ 会社に適用される保険料を入力してください！</t>
    <rPh sb="2" eb="4">
      <t>カイシャ</t>
    </rPh>
    <rPh sb="5" eb="7">
      <t>テキヨウ</t>
    </rPh>
    <rPh sb="10" eb="13">
      <t>ホケンリョウ</t>
    </rPh>
    <rPh sb="14" eb="16">
      <t>ニュウリョク</t>
    </rPh>
    <phoneticPr fontId="3"/>
  </si>
  <si>
    <t>時間給の改訂と見込み年収のお知らせ（労働時間見直しのご提案！）</t>
    <rPh sb="0" eb="3">
      <t>ジカンキュウ</t>
    </rPh>
    <rPh sb="4" eb="6">
      <t>カイテイ</t>
    </rPh>
    <rPh sb="7" eb="9">
      <t>ミコ</t>
    </rPh>
    <rPh sb="10" eb="12">
      <t>ネンシュウ</t>
    </rPh>
    <rPh sb="14" eb="15">
      <t>シ</t>
    </rPh>
    <phoneticPr fontId="3"/>
  </si>
  <si>
    <t>所属</t>
    <rPh sb="0" eb="2">
      <t>ショゾク</t>
    </rPh>
    <phoneticPr fontId="3"/>
  </si>
  <si>
    <t>　週所定労働時間を増やし、収入を増やすプランをご提案します。　将来の年金にも増額して反映されます。　ご検討をお勧めします！　（週所定労働時間を２０時間以上或いは30時間以上に延長して会社の被用者保険に加入もできます（注））
（注）社会保険適用拡大対象企業は、２０時間以上、対象外の企業は30時間以上。</t>
    <rPh sb="24" eb="26">
      <t>テイアン</t>
    </rPh>
    <rPh sb="73" eb="77">
      <t>ジカンイジョウ</t>
    </rPh>
    <rPh sb="77" eb="78">
      <t>アル</t>
    </rPh>
    <rPh sb="87" eb="89">
      <t>エンチョウ</t>
    </rPh>
    <rPh sb="108" eb="109">
      <t>チュウ</t>
    </rPh>
    <rPh sb="113" eb="114">
      <t>チュウ</t>
    </rPh>
    <rPh sb="115" eb="119">
      <t>シャカイホケン</t>
    </rPh>
    <rPh sb="119" eb="121">
      <t>テキヨウ</t>
    </rPh>
    <rPh sb="121" eb="123">
      <t>カクダイ</t>
    </rPh>
    <rPh sb="123" eb="125">
      <t>タイショウ</t>
    </rPh>
    <rPh sb="125" eb="127">
      <t>キギョウ</t>
    </rPh>
    <phoneticPr fontId="3"/>
  </si>
  <si>
    <r>
      <rPr>
        <b/>
        <sz val="14"/>
        <color rgb="FF0000CC"/>
        <rFont val="ＭＳ Ｐゴシック"/>
        <family val="3"/>
        <charset val="128"/>
      </rPr>
      <t>　　右図：</t>
    </r>
    <r>
      <rPr>
        <b/>
        <u/>
        <sz val="14"/>
        <color rgb="FF0000CC"/>
        <rFont val="ＭＳ Ｐゴシック"/>
        <family val="3"/>
        <charset val="128"/>
      </rPr>
      <t>【短時間労働者に対する健康保険 ・厚生年金保険の適用拡大</t>
    </r>
    <rPh sb="2" eb="4">
      <t>ミギズ</t>
    </rPh>
    <rPh sb="6" eb="7">
      <t>タン</t>
    </rPh>
    <rPh sb="7" eb="9">
      <t>ジカン</t>
    </rPh>
    <rPh sb="9" eb="12">
      <t>ロウドウシャ</t>
    </rPh>
    <rPh sb="13" eb="14">
      <t>タイ</t>
    </rPh>
    <rPh sb="16" eb="18">
      <t>ケンコウ</t>
    </rPh>
    <rPh sb="18" eb="20">
      <t>ホケン</t>
    </rPh>
    <rPh sb="22" eb="24">
      <t>コウセイ</t>
    </rPh>
    <rPh sb="24" eb="26">
      <t>ネンキン</t>
    </rPh>
    <rPh sb="26" eb="28">
      <t>ホケン</t>
    </rPh>
    <rPh sb="29" eb="31">
      <t>テキヨウ</t>
    </rPh>
    <rPh sb="31" eb="33">
      <t>カクダイ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</si>
</sst>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
    <numFmt numFmtId="177" formatCode="0.000%"/>
    <numFmt numFmtId="178" formatCode="#,##0_ "/>
    <numFmt numFmtId="179" formatCode="0.0_);[Red]\(0.0\)"/>
    <numFmt numFmtId="180" formatCode="[$-411]ggge&quot;年&quot;m&quot;月&quot;d&quot;日&quot;;@"/>
    <numFmt numFmtId="181" formatCode="[$-411]gee\.mm\.dd;@"/>
    <numFmt numFmtId="182" formatCode="#,##0.0;[Red]\-#,##0.0"/>
    <numFmt numFmtId="183" formatCode="[$-411]gee\.mm\.dd"/>
    <numFmt numFmtId="184" formatCode="#,##0&quot;円&quot;"/>
    <numFmt numFmtId="185" formatCode="#,##0&quot;円&quot;;#,##0&quot;円&quot;;#,##0&quot;円&quot;"/>
    <numFmt numFmtId="186" formatCode="#,##0&quot;円&quot;;\-#,##0&quot;円&quot;;#,##0&quot;円&quot;"/>
    <numFmt numFmtId="187" formatCode="\(#,##0&quot;円&quot;\);\(#,##0&quot;円&quot;\);\(#,##0&quot;円&quot;\)"/>
    <numFmt numFmtId="188" formatCode="0.000_ "/>
    <numFmt numFmtId="189" formatCode="0.0000"/>
    <numFmt numFmtId="190" formatCode="0_ "/>
  </numFmts>
  <fonts count="123"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b/>
      <sz val="11"/>
      <name val="ＭＳ Ｐゴシック"/>
      <family val="3"/>
      <charset val="128"/>
    </font>
    <font>
      <sz val="9"/>
      <name val="ＭＳ Ｐゴシック"/>
      <family val="3"/>
      <charset val="128"/>
    </font>
    <font>
      <sz val="11"/>
      <name val="ＭＳ ゴシック"/>
      <family val="3"/>
      <charset val="128"/>
    </font>
    <font>
      <sz val="10"/>
      <name val="ＭＳ Ｐゴシック"/>
      <family val="3"/>
      <charset val="128"/>
    </font>
    <font>
      <u/>
      <sz val="12"/>
      <name val="ＭＳ Ｐゴシック"/>
      <family val="3"/>
      <charset val="128"/>
    </font>
    <font>
      <sz val="11"/>
      <color indexed="8"/>
      <name val="ＭＳ Ｐゴシック"/>
      <family val="3"/>
      <charset val="128"/>
    </font>
    <font>
      <b/>
      <sz val="11"/>
      <color indexed="12"/>
      <name val="ＭＳ Ｐゴシック"/>
      <family val="3"/>
      <charset val="128"/>
    </font>
    <font>
      <b/>
      <sz val="11"/>
      <color indexed="8"/>
      <name val="ＭＳ Ｐゴシック"/>
      <family val="3"/>
      <charset val="128"/>
    </font>
    <font>
      <sz val="12"/>
      <color indexed="8"/>
      <name val="ＭＳ Ｐゴシック"/>
      <family val="3"/>
      <charset val="128"/>
    </font>
    <font>
      <sz val="12"/>
      <name val="ＭＳ Ｐゴシック"/>
      <family val="3"/>
      <charset val="128"/>
    </font>
    <font>
      <u/>
      <sz val="11"/>
      <name val="ＭＳ Ｐゴシック"/>
      <family val="3"/>
      <charset val="128"/>
    </font>
    <font>
      <b/>
      <u/>
      <sz val="12"/>
      <name val="ＭＳ Ｐゴシック"/>
      <family val="3"/>
      <charset val="128"/>
    </font>
    <font>
      <b/>
      <u/>
      <sz val="12"/>
      <color indexed="10"/>
      <name val="ＭＳ Ｐゴシック"/>
      <family val="3"/>
      <charset val="128"/>
    </font>
    <font>
      <b/>
      <sz val="12"/>
      <color rgb="FF0000CC"/>
      <name val="ＭＳ Ｐゴシック"/>
      <family val="3"/>
      <charset val="128"/>
    </font>
    <font>
      <sz val="11"/>
      <color theme="1"/>
      <name val="ＭＳ Ｐゴシック"/>
      <family val="3"/>
      <charset val="128"/>
    </font>
    <font>
      <b/>
      <sz val="12"/>
      <color theme="1"/>
      <name val="ＭＳ Ｐゴシック"/>
      <family val="3"/>
      <charset val="128"/>
    </font>
    <font>
      <sz val="10"/>
      <color theme="1"/>
      <name val="ＭＳ Ｐゴシック"/>
      <family val="3"/>
      <charset val="128"/>
    </font>
    <font>
      <b/>
      <u/>
      <sz val="12"/>
      <color rgb="FF0000CC"/>
      <name val="ＭＳ Ｐゴシック"/>
      <family val="3"/>
      <charset val="128"/>
    </font>
    <font>
      <b/>
      <sz val="12"/>
      <color indexed="10"/>
      <name val="ＭＳ Ｐゴシック"/>
      <family val="3"/>
      <charset val="128"/>
    </font>
    <font>
      <b/>
      <sz val="12"/>
      <color indexed="8"/>
      <name val="ＭＳ Ｐゴシック"/>
      <family val="3"/>
      <charset val="128"/>
    </font>
    <font>
      <b/>
      <sz val="12"/>
      <name val="ＭＳ Ｐゴシック"/>
      <family val="3"/>
      <charset val="128"/>
    </font>
    <font>
      <b/>
      <sz val="14"/>
      <color rgb="FF0000CC"/>
      <name val="ＭＳ Ｐゴシック"/>
      <family val="3"/>
      <charset val="128"/>
    </font>
    <font>
      <b/>
      <sz val="16"/>
      <color rgb="FF0000CC"/>
      <name val="ＭＳ Ｐゴシック"/>
      <family val="3"/>
      <charset val="128"/>
    </font>
    <font>
      <b/>
      <sz val="11"/>
      <color rgb="FFFF0000"/>
      <name val="Arial"/>
      <family val="2"/>
    </font>
    <font>
      <b/>
      <sz val="11"/>
      <color theme="1"/>
      <name val="ＭＳ Ｐゴシック"/>
      <family val="3"/>
      <charset val="128"/>
    </font>
    <font>
      <b/>
      <u/>
      <sz val="11"/>
      <color theme="1"/>
      <name val="ＭＳ Ｐゴシック"/>
      <family val="3"/>
      <charset val="128"/>
    </font>
    <font>
      <u/>
      <sz val="11"/>
      <color theme="10"/>
      <name val="ＭＳ Ｐゴシック"/>
      <family val="3"/>
      <charset val="128"/>
    </font>
    <font>
      <sz val="14"/>
      <name val="ＭＳ ゴシック"/>
      <family val="3"/>
      <charset val="128"/>
    </font>
    <font>
      <b/>
      <sz val="11"/>
      <name val="ＭＳ ゴシック"/>
      <family val="3"/>
      <charset val="128"/>
    </font>
    <font>
      <b/>
      <sz val="12"/>
      <color indexed="12"/>
      <name val="ＭＳ ゴシック"/>
      <family val="3"/>
      <charset val="128"/>
    </font>
    <font>
      <b/>
      <sz val="11"/>
      <color indexed="12"/>
      <name val="ＭＳ ゴシック"/>
      <family val="3"/>
      <charset val="128"/>
    </font>
    <font>
      <b/>
      <u/>
      <sz val="11"/>
      <color rgb="FFFF0000"/>
      <name val="ＭＳ Ｐゴシック"/>
      <family val="3"/>
      <charset val="128"/>
    </font>
    <font>
      <b/>
      <u/>
      <sz val="11"/>
      <color rgb="FFFF0000"/>
      <name val="ＭＳ ゴシック"/>
      <family val="3"/>
      <charset val="128"/>
    </font>
    <font>
      <b/>
      <sz val="14"/>
      <color theme="1"/>
      <name val="ＭＳ Ｐゴシック"/>
      <family val="3"/>
      <charset val="128"/>
    </font>
    <font>
      <b/>
      <sz val="14"/>
      <color indexed="8"/>
      <name val="ＭＳ Ｐゴシック"/>
      <family val="3"/>
      <charset val="128"/>
    </font>
    <font>
      <b/>
      <u/>
      <sz val="14"/>
      <color rgb="FFFF0000"/>
      <name val="ＭＳ Ｐゴシック"/>
      <family val="3"/>
      <charset val="128"/>
    </font>
    <font>
      <b/>
      <u/>
      <sz val="11"/>
      <name val="ＭＳ Ｐゴシック"/>
      <family val="3"/>
      <charset val="128"/>
    </font>
    <font>
      <b/>
      <u/>
      <sz val="14"/>
      <color rgb="FF0000CC"/>
      <name val="ＭＳ Ｐゴシック"/>
      <family val="3"/>
      <charset val="128"/>
    </font>
    <font>
      <b/>
      <sz val="14"/>
      <name val="ＭＳ Ｐゴシック"/>
      <family val="3"/>
      <charset val="128"/>
    </font>
    <font>
      <b/>
      <u/>
      <sz val="10"/>
      <name val="ＭＳ Ｐゴシック"/>
      <family val="3"/>
      <charset val="128"/>
    </font>
    <font>
      <u/>
      <sz val="18"/>
      <color rgb="FF0000CC"/>
      <name val="ＭＳ Ｐゴシック"/>
      <family val="3"/>
      <charset val="128"/>
    </font>
    <font>
      <sz val="12"/>
      <color theme="1"/>
      <name val="ＭＳ Ｐゴシック"/>
      <family val="3"/>
      <charset val="128"/>
    </font>
    <font>
      <b/>
      <sz val="16"/>
      <color theme="1"/>
      <name val="ＭＳ Ｐゴシック"/>
      <family val="3"/>
      <charset val="128"/>
    </font>
    <font>
      <b/>
      <sz val="24"/>
      <color indexed="12"/>
      <name val="HGｺﾞｼｯｸE"/>
      <family val="3"/>
      <charset val="128"/>
    </font>
    <font>
      <b/>
      <sz val="18"/>
      <name val="ＭＳ Ｐゴシック"/>
      <family val="3"/>
      <charset val="128"/>
    </font>
    <font>
      <sz val="14"/>
      <name val="ＭＳ Ｐゴシック"/>
      <family val="3"/>
      <charset val="128"/>
    </font>
    <font>
      <sz val="16"/>
      <name val="ＭＳ Ｐゴシック"/>
      <family val="3"/>
      <charset val="128"/>
    </font>
    <font>
      <sz val="14"/>
      <color indexed="10"/>
      <name val="ＭＳ Ｐゴシック"/>
      <family val="3"/>
      <charset val="128"/>
    </font>
    <font>
      <b/>
      <sz val="9"/>
      <color indexed="10"/>
      <name val="ＭＳ Ｐゴシック"/>
      <family val="3"/>
      <charset val="128"/>
    </font>
    <font>
      <b/>
      <u/>
      <sz val="14"/>
      <name val="ＭＳ Ｐゴシック"/>
      <family val="3"/>
      <charset val="128"/>
    </font>
    <font>
      <b/>
      <u/>
      <sz val="14"/>
      <color theme="10"/>
      <name val="ＭＳ Ｐゴシック"/>
      <family val="3"/>
      <charset val="128"/>
    </font>
    <font>
      <sz val="18"/>
      <name val="ＭＳ Ｐゴシック"/>
      <family val="3"/>
      <charset val="128"/>
    </font>
    <font>
      <sz val="18"/>
      <color rgb="FF0000CC"/>
      <name val="ＭＳ Ｐゴシック"/>
      <family val="3"/>
      <charset val="128"/>
    </font>
    <font>
      <b/>
      <sz val="16"/>
      <color indexed="12"/>
      <name val="ＭＳ Ｐゴシック"/>
      <family val="3"/>
      <charset val="128"/>
    </font>
    <font>
      <b/>
      <sz val="20"/>
      <color theme="1"/>
      <name val="HGｺﾞｼｯｸE"/>
      <family val="3"/>
      <charset val="128"/>
    </font>
    <font>
      <b/>
      <u/>
      <sz val="14"/>
      <color theme="1"/>
      <name val="ＭＳ Ｐゴシック"/>
      <family val="3"/>
      <charset val="128"/>
    </font>
    <font>
      <b/>
      <u/>
      <sz val="24"/>
      <color indexed="12"/>
      <name val="ＭＳ Ｐゴシック"/>
      <family val="3"/>
      <charset val="128"/>
    </font>
    <font>
      <u/>
      <sz val="18"/>
      <color theme="1"/>
      <name val="ＭＳ Ｐゴシック"/>
      <family val="3"/>
      <charset val="128"/>
    </font>
    <font>
      <b/>
      <sz val="12"/>
      <color rgb="FF0000FF"/>
      <name val="ＭＳ Ｐゴシック"/>
      <family val="3"/>
      <charset val="128"/>
    </font>
    <font>
      <b/>
      <sz val="16"/>
      <color rgb="FF0000FF"/>
      <name val="ＭＳ Ｐゴシック"/>
      <family val="3"/>
      <charset val="128"/>
    </font>
    <font>
      <b/>
      <sz val="14"/>
      <color theme="1"/>
      <name val="HGｺﾞｼｯｸE"/>
      <family val="3"/>
      <charset val="128"/>
    </font>
    <font>
      <b/>
      <sz val="14"/>
      <color rgb="FF0000FF"/>
      <name val="ＭＳ Ｐゴシック"/>
      <family val="3"/>
      <charset val="128"/>
    </font>
    <font>
      <sz val="12"/>
      <color theme="1"/>
      <name val="HGｺﾞｼｯｸE"/>
      <family val="3"/>
      <charset val="128"/>
    </font>
    <font>
      <b/>
      <u/>
      <sz val="14"/>
      <color indexed="12"/>
      <name val="ＭＳ Ｐゴシック"/>
      <family val="3"/>
      <charset val="128"/>
    </font>
    <font>
      <b/>
      <u/>
      <sz val="18"/>
      <name val="ＭＳ Ｐゴシック"/>
      <family val="3"/>
      <charset val="128"/>
    </font>
    <font>
      <b/>
      <u/>
      <sz val="18"/>
      <color rgb="FF0000FF"/>
      <name val="ＭＳ Ｐゴシック"/>
      <family val="3"/>
      <charset val="128"/>
    </font>
    <font>
      <b/>
      <sz val="10"/>
      <color indexed="12"/>
      <name val="ＭＳ ゴシック"/>
      <family val="3"/>
      <charset val="128"/>
    </font>
    <font>
      <b/>
      <sz val="10"/>
      <name val="ＭＳ ゴシック"/>
      <family val="3"/>
      <charset val="128"/>
    </font>
    <font>
      <b/>
      <u/>
      <sz val="18"/>
      <color rgb="FF0000CC"/>
      <name val="ＭＳ ゴシック"/>
      <family val="3"/>
      <charset val="128"/>
    </font>
    <font>
      <b/>
      <u/>
      <sz val="11"/>
      <name val="ＭＳ ゴシック"/>
      <family val="3"/>
      <charset val="128"/>
    </font>
    <font>
      <b/>
      <u/>
      <sz val="12"/>
      <name val="ＭＳ ゴシック"/>
      <family val="3"/>
      <charset val="128"/>
    </font>
    <font>
      <b/>
      <sz val="11"/>
      <color indexed="10"/>
      <name val="ＭＳ ゴシック"/>
      <family val="3"/>
      <charset val="128"/>
    </font>
    <font>
      <b/>
      <sz val="11"/>
      <color theme="1"/>
      <name val="ＭＳ ゴシック"/>
      <family val="3"/>
      <charset val="128"/>
    </font>
    <font>
      <b/>
      <sz val="12"/>
      <name val="ＭＳ ゴシック"/>
      <family val="3"/>
      <charset val="128"/>
    </font>
    <font>
      <sz val="9"/>
      <color theme="0" tint="-0.34998626667073579"/>
      <name val="ＭＳ ゴシック"/>
      <family val="3"/>
      <charset val="128"/>
    </font>
    <font>
      <b/>
      <u/>
      <sz val="12"/>
      <color rgb="FF0000CC"/>
      <name val="ＭＳ ゴシック"/>
      <family val="3"/>
      <charset val="128"/>
    </font>
    <font>
      <b/>
      <sz val="18"/>
      <color rgb="FFFF0000"/>
      <name val="ＭＳ ゴシック"/>
      <family val="3"/>
      <charset val="128"/>
    </font>
    <font>
      <b/>
      <sz val="12"/>
      <color rgb="FFFF0000"/>
      <name val="ＭＳ ゴシック"/>
      <family val="3"/>
      <charset val="128"/>
    </font>
    <font>
      <b/>
      <sz val="11"/>
      <color rgb="FFFF0000"/>
      <name val="ＭＳ ゴシック"/>
      <family val="3"/>
      <charset val="128"/>
    </font>
    <font>
      <u/>
      <sz val="12"/>
      <color rgb="FFFF0000"/>
      <name val="ＭＳ Ｐゴシック"/>
      <family val="3"/>
      <charset val="128"/>
    </font>
    <font>
      <b/>
      <u/>
      <sz val="11"/>
      <color rgb="FF0000FF"/>
      <name val="ＭＳ Ｐゴシック"/>
      <family val="3"/>
      <charset val="128"/>
    </font>
    <font>
      <b/>
      <sz val="12"/>
      <color rgb="FF0000FF"/>
      <name val="ＭＳ ゴシック"/>
      <family val="3"/>
      <charset val="128"/>
    </font>
    <font>
      <b/>
      <u/>
      <sz val="11"/>
      <color rgb="FF0000FF"/>
      <name val="ＭＳ ゴシック"/>
      <family val="3"/>
      <charset val="128"/>
    </font>
    <font>
      <b/>
      <u/>
      <sz val="12"/>
      <color rgb="FFFF0000"/>
      <name val="ＭＳ Ｐゴシック"/>
      <family val="3"/>
      <charset val="128"/>
    </font>
    <font>
      <b/>
      <u/>
      <sz val="16"/>
      <color theme="1"/>
      <name val="ＭＳ Ｐゴシック"/>
      <family val="3"/>
      <charset val="128"/>
      <scheme val="minor"/>
    </font>
    <font>
      <sz val="6"/>
      <name val="ＭＳ Ｐゴシック"/>
      <family val="2"/>
      <charset val="128"/>
      <scheme val="minor"/>
    </font>
    <font>
      <b/>
      <u/>
      <sz val="14"/>
      <color rgb="FF0000CC"/>
      <name val="ＭＳ Ｐゴシック"/>
      <family val="3"/>
      <charset val="128"/>
      <scheme val="minor"/>
    </font>
    <font>
      <b/>
      <sz val="11"/>
      <color theme="1"/>
      <name val="ＭＳ Ｐゴシック"/>
      <family val="3"/>
      <charset val="128"/>
      <scheme val="minor"/>
    </font>
    <font>
      <b/>
      <sz val="11"/>
      <color rgb="FFFF0000"/>
      <name val="ＭＳ Ｐゴシック"/>
      <family val="3"/>
      <charset val="128"/>
      <scheme val="minor"/>
    </font>
    <font>
      <u/>
      <sz val="16"/>
      <name val="ＭＳ Ｐゴシック"/>
      <family val="3"/>
      <charset val="128"/>
    </font>
    <font>
      <b/>
      <u/>
      <sz val="14"/>
      <color theme="0"/>
      <name val="ＭＳ Ｐゴシック"/>
      <family val="3"/>
      <charset val="128"/>
    </font>
    <font>
      <b/>
      <u/>
      <sz val="20"/>
      <color rgb="FF0000CC"/>
      <name val="ＭＳ Ｐゴシック"/>
      <family val="3"/>
      <charset val="128"/>
    </font>
    <font>
      <b/>
      <u/>
      <sz val="10"/>
      <color theme="1"/>
      <name val="ＭＳ Ｐゴシック"/>
      <family val="3"/>
      <charset val="128"/>
    </font>
    <font>
      <b/>
      <sz val="12"/>
      <color theme="0"/>
      <name val="ＭＳ Ｐゴシック"/>
      <family val="3"/>
      <charset val="128"/>
    </font>
    <font>
      <sz val="11"/>
      <color theme="0"/>
      <name val="ＭＳ Ｐゴシック"/>
      <family val="3"/>
      <charset val="128"/>
    </font>
    <font>
      <b/>
      <sz val="11"/>
      <color rgb="FF0000FF"/>
      <name val="ＭＳ Ｐゴシック"/>
      <family val="3"/>
      <charset val="128"/>
      <scheme val="minor"/>
    </font>
    <font>
      <u/>
      <sz val="14"/>
      <color rgb="FF0000CC"/>
      <name val="ＭＳ Ｐゴシック"/>
      <family val="3"/>
      <charset val="128"/>
    </font>
    <font>
      <b/>
      <u/>
      <sz val="10"/>
      <color rgb="FFFF0000"/>
      <name val="ＭＳ Ｐゴシック"/>
      <family val="3"/>
      <charset val="128"/>
    </font>
    <font>
      <b/>
      <sz val="12"/>
      <color rgb="FFFF0000"/>
      <name val="ＭＳ Ｐゴシック"/>
      <family val="3"/>
      <charset val="128"/>
    </font>
    <font>
      <b/>
      <u/>
      <sz val="12"/>
      <color rgb="FF0000FF"/>
      <name val="ＭＳ Ｐゴシック"/>
      <family val="3"/>
      <charset val="128"/>
    </font>
    <font>
      <sz val="12"/>
      <color theme="0" tint="-0.249977111117893"/>
      <name val="ＭＳ Ｐゴシック"/>
      <family val="3"/>
      <charset val="128"/>
    </font>
    <font>
      <sz val="11"/>
      <color theme="0" tint="-0.249977111117893"/>
      <name val="ＭＳ Ｐゴシック"/>
      <family val="3"/>
      <charset val="128"/>
    </font>
    <font>
      <b/>
      <sz val="12"/>
      <color theme="0" tint="-0.249977111117893"/>
      <name val="ＭＳ Ｐゴシック"/>
      <family val="3"/>
      <charset val="128"/>
    </font>
    <font>
      <b/>
      <sz val="11"/>
      <color theme="0" tint="-0.249977111117893"/>
      <name val="ＭＳ Ｐゴシック"/>
      <family val="3"/>
      <charset val="128"/>
    </font>
    <font>
      <b/>
      <u/>
      <sz val="14"/>
      <color rgb="FF0000FF"/>
      <name val="ＭＳ Ｐゴシック"/>
      <family val="3"/>
      <charset val="128"/>
    </font>
    <font>
      <u/>
      <sz val="18"/>
      <color rgb="FF0000FF"/>
      <name val="ＭＳ Ｐゴシック"/>
      <family val="3"/>
      <charset val="128"/>
    </font>
    <font>
      <b/>
      <sz val="10"/>
      <color theme="0" tint="-0.249977111117893"/>
      <name val="ＭＳ Ｐゴシック"/>
      <family val="3"/>
      <charset val="128"/>
    </font>
    <font>
      <b/>
      <sz val="14"/>
      <color theme="0" tint="-0.249977111117893"/>
      <name val="ＭＳ Ｐゴシック"/>
      <family val="3"/>
      <charset val="128"/>
    </font>
    <font>
      <b/>
      <sz val="11"/>
      <color rgb="FF0000FF"/>
      <name val="ＭＳ ゴシック"/>
      <family val="3"/>
      <charset val="128"/>
    </font>
    <font>
      <b/>
      <u/>
      <sz val="12"/>
      <color rgb="FFBCBCBC"/>
      <name val="ＭＳ Ｐゴシック"/>
      <family val="3"/>
      <charset val="128"/>
    </font>
    <font>
      <b/>
      <sz val="11"/>
      <color rgb="FFBCBCBC"/>
      <name val="ＭＳ Ｐゴシック"/>
      <family val="3"/>
      <charset val="128"/>
    </font>
    <font>
      <b/>
      <u/>
      <sz val="16"/>
      <color theme="1"/>
      <name val="ＭＳ Ｐゴシック"/>
      <family val="3"/>
      <charset val="128"/>
    </font>
    <font>
      <b/>
      <sz val="10"/>
      <name val="ＭＳ Ｐゴシック"/>
      <family val="3"/>
      <charset val="128"/>
    </font>
    <font>
      <b/>
      <sz val="10"/>
      <color rgb="FFFF0000"/>
      <name val="ＭＳ Ｐゴシック"/>
      <family val="3"/>
      <charset val="128"/>
    </font>
    <font>
      <b/>
      <sz val="10"/>
      <color rgb="FF0000FF"/>
      <name val="ＭＳ Ｐゴシック"/>
      <family val="3"/>
      <charset val="128"/>
    </font>
    <font>
      <sz val="12"/>
      <color rgb="FF9B9B9B"/>
      <name val="ＭＳ Ｐゴシック"/>
      <family val="3"/>
      <charset val="128"/>
    </font>
    <font>
      <b/>
      <u/>
      <sz val="18"/>
      <color rgb="FF0000CC"/>
      <name val="ＭＳ Ｐゴシック"/>
      <family val="3"/>
      <charset val="128"/>
    </font>
    <font>
      <b/>
      <u/>
      <sz val="14"/>
      <color rgb="FF3333FF"/>
      <name val="ＭＳ Ｐゴシック"/>
      <family val="3"/>
      <charset val="128"/>
    </font>
  </fonts>
  <fills count="34">
    <fill>
      <patternFill patternType="none"/>
    </fill>
    <fill>
      <patternFill patternType="gray125"/>
    </fill>
    <fill>
      <patternFill patternType="solid">
        <fgColor indexed="31"/>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EFECF4"/>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00CC"/>
        <bgColor indexed="64"/>
      </patternFill>
    </fill>
    <fill>
      <patternFill patternType="solid">
        <fgColor rgb="FF0000FF"/>
        <bgColor indexed="64"/>
      </patternFill>
    </fill>
    <fill>
      <patternFill patternType="solid">
        <fgColor rgb="FFCCFFFF"/>
        <bgColor indexed="64"/>
      </patternFill>
    </fill>
    <fill>
      <patternFill patternType="solid">
        <fgColor rgb="FFFEF6F0"/>
        <bgColor indexed="64"/>
      </patternFill>
    </fill>
    <fill>
      <patternFill patternType="solid">
        <fgColor rgb="FFFFFFCD"/>
        <bgColor indexed="64"/>
      </patternFill>
    </fill>
    <fill>
      <patternFill patternType="solid">
        <fgColor rgb="FFF5F8EE"/>
        <bgColor indexed="64"/>
      </patternFill>
    </fill>
    <fill>
      <patternFill patternType="solid">
        <fgColor rgb="FF00FFFF"/>
        <bgColor indexed="64"/>
      </patternFill>
    </fill>
  </fills>
  <borders count="111">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top style="medium">
        <color indexed="64"/>
      </top>
      <bottom/>
      <diagonal/>
    </border>
    <border>
      <left style="thin">
        <color indexed="64"/>
      </left>
      <right/>
      <top/>
      <bottom style="medium">
        <color indexed="64"/>
      </bottom>
      <diagonal/>
    </border>
    <border diagonalDown="1">
      <left style="thin">
        <color indexed="64"/>
      </left>
      <right/>
      <top style="thin">
        <color indexed="64"/>
      </top>
      <bottom style="medium">
        <color indexed="64"/>
      </bottom>
      <diagonal style="thin">
        <color indexed="64"/>
      </diagonal>
    </border>
    <border>
      <left/>
      <right style="thin">
        <color indexed="64"/>
      </right>
      <top/>
      <bottom style="medium">
        <color indexed="64"/>
      </bottom>
      <diagonal/>
    </border>
    <border diagonalDown="1">
      <left style="thin">
        <color indexed="64"/>
      </left>
      <right/>
      <top/>
      <bottom style="medium">
        <color indexed="64"/>
      </bottom>
      <diagonal style="thin">
        <color indexed="64"/>
      </diagonal>
    </border>
    <border>
      <left style="thin">
        <color indexed="64"/>
      </left>
      <right style="thin">
        <color indexed="64"/>
      </right>
      <top/>
      <bottom style="hair">
        <color indexed="64"/>
      </bottom>
      <diagonal/>
    </border>
    <border>
      <left style="thick">
        <color rgb="FF0000FF"/>
      </left>
      <right style="thick">
        <color rgb="FF0000FF"/>
      </right>
      <top style="thick">
        <color rgb="FF0000FF"/>
      </top>
      <bottom/>
      <diagonal/>
    </border>
    <border>
      <left style="thick">
        <color rgb="FF0000FF"/>
      </left>
      <right style="thick">
        <color rgb="FF0000FF"/>
      </right>
      <top/>
      <bottom/>
      <diagonal/>
    </border>
    <border>
      <left style="thick">
        <color rgb="FF0000FF"/>
      </left>
      <right style="thick">
        <color rgb="FF0000FF"/>
      </right>
      <top/>
      <bottom style="thick">
        <color rgb="FF0000FF"/>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top/>
      <bottom style="hair">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s>
  <cellStyleXfs count="5">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1" fillId="0" borderId="0" applyNumberFormat="0" applyFill="0" applyBorder="0" applyAlignment="0" applyProtection="0">
      <alignment vertical="center"/>
    </xf>
    <xf numFmtId="37" fontId="32" fillId="0" borderId="0"/>
  </cellStyleXfs>
  <cellXfs count="958">
    <xf numFmtId="0" fontId="0" fillId="0" borderId="0" xfId="0">
      <alignment vertical="center"/>
    </xf>
    <xf numFmtId="0" fontId="4" fillId="0" borderId="0" xfId="0" quotePrefix="1" applyFont="1" applyAlignment="1">
      <alignment horizontal="left"/>
    </xf>
    <xf numFmtId="178" fontId="0" fillId="0" borderId="3" xfId="0" applyNumberFormat="1" applyBorder="1">
      <alignment vertical="center"/>
    </xf>
    <xf numFmtId="0" fontId="6" fillId="0" borderId="4" xfId="0" applyFont="1" applyBorder="1" applyAlignment="1">
      <alignment horizontal="center" vertical="center"/>
    </xf>
    <xf numFmtId="178" fontId="0" fillId="0" borderId="4" xfId="0" applyNumberFormat="1" applyBorder="1">
      <alignment vertical="center"/>
    </xf>
    <xf numFmtId="0" fontId="6" fillId="0" borderId="5" xfId="0" applyFont="1" applyBorder="1" applyAlignment="1">
      <alignment horizontal="center" vertical="center"/>
    </xf>
    <xf numFmtId="38" fontId="0" fillId="0" borderId="0" xfId="2" applyFont="1" applyBorder="1" applyAlignment="1">
      <alignment vertical="center"/>
    </xf>
    <xf numFmtId="179" fontId="6" fillId="0" borderId="0" xfId="0" applyNumberFormat="1" applyFont="1">
      <alignment vertical="center"/>
    </xf>
    <xf numFmtId="179" fontId="0" fillId="0" borderId="0" xfId="0" applyNumberFormat="1" applyAlignment="1">
      <alignment horizontal="right"/>
    </xf>
    <xf numFmtId="179" fontId="0" fillId="0" borderId="0" xfId="0" applyNumberFormat="1">
      <alignment vertical="center"/>
    </xf>
    <xf numFmtId="0" fontId="1" fillId="2" borderId="1" xfId="0" applyFont="1" applyFill="1" applyBorder="1" applyAlignment="1">
      <alignment horizontal="left"/>
    </xf>
    <xf numFmtId="0" fontId="1" fillId="2" borderId="2" xfId="0" applyFont="1"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0" fontId="0" fillId="0" borderId="0" xfId="0" applyAlignment="1">
      <alignment horizontal="center" vertical="center"/>
    </xf>
    <xf numFmtId="38" fontId="0" fillId="0" borderId="0" xfId="2" applyFont="1">
      <alignment vertical="center"/>
    </xf>
    <xf numFmtId="0" fontId="4" fillId="0" borderId="0" xfId="0" applyFont="1" applyAlignment="1">
      <alignment horizontal="left"/>
    </xf>
    <xf numFmtId="0" fontId="1" fillId="2" borderId="14" xfId="0" applyFont="1" applyFill="1" applyBorder="1" applyAlignment="1">
      <alignment horizontal="center" vertical="center"/>
    </xf>
    <xf numFmtId="38" fontId="5" fillId="0" borderId="0" xfId="2" applyFont="1" applyAlignment="1">
      <alignment horizontal="left" vertical="center"/>
    </xf>
    <xf numFmtId="0" fontId="2" fillId="0" borderId="0" xfId="0" applyFont="1" applyAlignment="1">
      <alignment horizontal="right"/>
    </xf>
    <xf numFmtId="38" fontId="0" fillId="0" borderId="0" xfId="2" applyFont="1" applyAlignment="1">
      <alignment horizontal="center" vertical="center"/>
    </xf>
    <xf numFmtId="38" fontId="0" fillId="0" borderId="0" xfId="2" applyFont="1" applyAlignment="1">
      <alignment vertical="center"/>
    </xf>
    <xf numFmtId="38" fontId="14" fillId="0" borderId="0" xfId="2" applyFont="1">
      <alignment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2" fillId="2" borderId="6" xfId="0" applyFont="1" applyFill="1" applyBorder="1">
      <alignment vertical="center"/>
    </xf>
    <xf numFmtId="38" fontId="0" fillId="2" borderId="2" xfId="2" applyFont="1" applyFill="1" applyBorder="1" applyAlignment="1">
      <alignment vertical="center"/>
    </xf>
    <xf numFmtId="38" fontId="0" fillId="2" borderId="18" xfId="2" applyFont="1" applyFill="1" applyBorder="1" applyAlignment="1">
      <alignment vertical="center"/>
    </xf>
    <xf numFmtId="38" fontId="0" fillId="2" borderId="12" xfId="2" applyFont="1" applyFill="1" applyBorder="1" applyAlignment="1">
      <alignment vertical="center"/>
    </xf>
    <xf numFmtId="0" fontId="1" fillId="2" borderId="18" xfId="0" applyFont="1" applyFill="1" applyBorder="1" applyAlignment="1">
      <alignment horizontal="center"/>
    </xf>
    <xf numFmtId="38" fontId="0" fillId="2" borderId="17" xfId="2" applyFont="1" applyFill="1" applyBorder="1">
      <alignment vertical="center"/>
    </xf>
    <xf numFmtId="38" fontId="0" fillId="0" borderId="1" xfId="2" applyFont="1" applyBorder="1">
      <alignment vertical="center"/>
    </xf>
    <xf numFmtId="38" fontId="0" fillId="0" borderId="18" xfId="2" applyFont="1" applyBorder="1">
      <alignment vertical="center"/>
    </xf>
    <xf numFmtId="38" fontId="0" fillId="0" borderId="1" xfId="2" applyFont="1" applyFill="1" applyBorder="1">
      <alignment vertical="center"/>
    </xf>
    <xf numFmtId="38" fontId="0" fillId="0" borderId="18" xfId="2" applyFont="1" applyFill="1" applyBorder="1">
      <alignment vertical="center"/>
    </xf>
    <xf numFmtId="38" fontId="0" fillId="0" borderId="6" xfId="2" applyFont="1" applyBorder="1">
      <alignment vertical="center"/>
    </xf>
    <xf numFmtId="38" fontId="0" fillId="0" borderId="19" xfId="2" applyFont="1" applyBorder="1">
      <alignment vertical="center"/>
    </xf>
    <xf numFmtId="38" fontId="0" fillId="2" borderId="15" xfId="2" applyFont="1" applyFill="1" applyBorder="1" applyAlignment="1">
      <alignment horizontal="center" vertical="center"/>
    </xf>
    <xf numFmtId="0" fontId="14" fillId="0" borderId="0" xfId="0" applyFont="1" applyProtection="1">
      <alignment vertical="center"/>
      <protection hidden="1"/>
    </xf>
    <xf numFmtId="38" fontId="14" fillId="0" borderId="0" xfId="2" applyFont="1" applyFill="1" applyBorder="1" applyProtection="1">
      <alignment vertical="center"/>
      <protection hidden="1"/>
    </xf>
    <xf numFmtId="0" fontId="14" fillId="0" borderId="0" xfId="0" applyFont="1" applyAlignment="1" applyProtection="1">
      <alignment horizontal="center" vertical="center"/>
      <protection hidden="1"/>
    </xf>
    <xf numFmtId="177" fontId="14" fillId="0" borderId="0" xfId="1" applyNumberFormat="1" applyFont="1" applyBorder="1" applyAlignment="1" applyProtection="1">
      <alignment horizontal="center" vertical="center"/>
      <protection hidden="1"/>
    </xf>
    <xf numFmtId="38" fontId="14" fillId="0" borderId="0" xfId="2" applyFont="1" applyProtection="1">
      <alignment vertical="center"/>
      <protection hidden="1"/>
    </xf>
    <xf numFmtId="0" fontId="14" fillId="2" borderId="54" xfId="0" applyFont="1" applyFill="1" applyBorder="1" applyAlignment="1" applyProtection="1">
      <alignment horizontal="center" vertical="center"/>
      <protection hidden="1"/>
    </xf>
    <xf numFmtId="178" fontId="0" fillId="0" borderId="5" xfId="0" applyNumberFormat="1" applyBorder="1">
      <alignment vertical="center"/>
    </xf>
    <xf numFmtId="0" fontId="1" fillId="2" borderId="55" xfId="0" applyFont="1" applyFill="1" applyBorder="1" applyAlignment="1">
      <alignment horizontal="center"/>
    </xf>
    <xf numFmtId="0" fontId="0" fillId="0" borderId="37" xfId="0" applyBorder="1">
      <alignment vertical="center"/>
    </xf>
    <xf numFmtId="0" fontId="0" fillId="0" borderId="56" xfId="0" applyBorder="1">
      <alignment vertical="center"/>
    </xf>
    <xf numFmtId="0" fontId="0" fillId="0" borderId="41" xfId="0" applyBorder="1">
      <alignment vertical="center"/>
    </xf>
    <xf numFmtId="0" fontId="0" fillId="0" borderId="38" xfId="0" applyBorder="1">
      <alignment vertical="center"/>
    </xf>
    <xf numFmtId="38" fontId="0" fillId="2" borderId="9" xfId="2" applyFont="1" applyFill="1" applyBorder="1" applyAlignment="1">
      <alignment vertical="center"/>
    </xf>
    <xf numFmtId="38" fontId="0" fillId="2" borderId="11" xfId="2" applyFont="1" applyFill="1" applyBorder="1" applyAlignment="1">
      <alignment vertical="center"/>
    </xf>
    <xf numFmtId="38" fontId="0" fillId="2" borderId="27" xfId="2" applyFont="1" applyFill="1" applyBorder="1" applyAlignment="1">
      <alignment vertical="center"/>
    </xf>
    <xf numFmtId="0" fontId="34" fillId="0" borderId="59" xfId="0" applyFont="1" applyBorder="1" applyAlignment="1" applyProtection="1">
      <alignment horizontal="center" vertical="center"/>
      <protection locked="0"/>
    </xf>
    <xf numFmtId="0" fontId="5" fillId="0" borderId="0" xfId="0" applyFont="1">
      <alignment vertical="center"/>
    </xf>
    <xf numFmtId="0" fontId="25" fillId="0" borderId="0" xfId="0" applyFont="1" applyProtection="1">
      <alignment vertical="center"/>
      <protection hidden="1"/>
    </xf>
    <xf numFmtId="38" fontId="25" fillId="14" borderId="2" xfId="0" applyNumberFormat="1" applyFont="1" applyFill="1" applyBorder="1" applyProtection="1">
      <alignment vertical="center"/>
      <protection hidden="1"/>
    </xf>
    <xf numFmtId="38" fontId="14" fillId="0" borderId="0" xfId="2" applyFont="1" applyAlignment="1" applyProtection="1">
      <alignment horizontal="center" vertical="center"/>
      <protection hidden="1"/>
    </xf>
    <xf numFmtId="0" fontId="13" fillId="0" borderId="0" xfId="0" applyFont="1" applyAlignment="1" applyProtection="1">
      <alignment horizontal="center" vertical="center"/>
      <protection hidden="1"/>
    </xf>
    <xf numFmtId="181" fontId="13" fillId="0" borderId="0" xfId="0" applyNumberFormat="1" applyFont="1" applyAlignment="1" applyProtection="1">
      <alignment horizontal="center" vertical="center"/>
      <protection hidden="1"/>
    </xf>
    <xf numFmtId="38" fontId="38" fillId="6" borderId="2" xfId="2" applyFont="1" applyFill="1" applyBorder="1" applyProtection="1">
      <alignment vertical="center"/>
      <protection hidden="1"/>
    </xf>
    <xf numFmtId="0" fontId="25" fillId="7" borderId="2" xfId="0" applyFont="1" applyFill="1" applyBorder="1" applyAlignment="1" applyProtection="1">
      <alignment horizontal="center" vertical="center"/>
      <protection hidden="1"/>
    </xf>
    <xf numFmtId="38" fontId="5" fillId="7" borderId="2" xfId="2" applyFont="1" applyFill="1" applyBorder="1" applyAlignment="1" applyProtection="1">
      <alignment horizontal="center" vertical="center"/>
      <protection hidden="1"/>
    </xf>
    <xf numFmtId="0" fontId="39" fillId="6" borderId="2" xfId="0" applyFont="1" applyFill="1" applyBorder="1" applyAlignment="1" applyProtection="1">
      <alignment horizontal="center" vertical="center"/>
      <protection hidden="1"/>
    </xf>
    <xf numFmtId="0" fontId="5" fillId="7" borderId="2" xfId="0" applyFont="1" applyFill="1" applyBorder="1" applyAlignment="1" applyProtection="1">
      <alignment horizontal="center" vertical="center"/>
      <protection hidden="1"/>
    </xf>
    <xf numFmtId="0" fontId="25" fillId="0" borderId="0" xfId="0" applyFont="1" applyAlignment="1" applyProtection="1">
      <alignment horizontal="right" vertical="center"/>
      <protection hidden="1"/>
    </xf>
    <xf numFmtId="0" fontId="16" fillId="0" borderId="0" xfId="0" applyFont="1" applyProtection="1">
      <alignment vertical="center"/>
      <protection hidden="1"/>
    </xf>
    <xf numFmtId="38" fontId="25" fillId="14" borderId="64" xfId="0" applyNumberFormat="1" applyFont="1" applyFill="1" applyBorder="1" applyProtection="1">
      <alignment vertical="center"/>
      <protection hidden="1"/>
    </xf>
    <xf numFmtId="38" fontId="25" fillId="14" borderId="66" xfId="0" applyNumberFormat="1" applyFont="1" applyFill="1" applyBorder="1" applyProtection="1">
      <alignment vertical="center"/>
      <protection hidden="1"/>
    </xf>
    <xf numFmtId="38" fontId="25" fillId="14" borderId="49" xfId="0" applyNumberFormat="1" applyFont="1" applyFill="1" applyBorder="1" applyProtection="1">
      <alignment vertical="center"/>
      <protection hidden="1"/>
    </xf>
    <xf numFmtId="38" fontId="25" fillId="14" borderId="68" xfId="0" applyNumberFormat="1" applyFont="1" applyFill="1" applyBorder="1" applyProtection="1">
      <alignment vertical="center"/>
      <protection hidden="1"/>
    </xf>
    <xf numFmtId="0" fontId="5" fillId="2" borderId="37" xfId="0" applyFont="1" applyFill="1" applyBorder="1" applyAlignment="1" applyProtection="1">
      <alignment horizontal="center" vertical="center" wrapText="1"/>
      <protection hidden="1"/>
    </xf>
    <xf numFmtId="38" fontId="25" fillId="14" borderId="65" xfId="0" applyNumberFormat="1" applyFont="1" applyFill="1" applyBorder="1" applyProtection="1">
      <alignment vertical="center"/>
      <protection hidden="1"/>
    </xf>
    <xf numFmtId="38" fontId="25" fillId="14" borderId="27" xfId="0" applyNumberFormat="1" applyFont="1" applyFill="1" applyBorder="1" applyProtection="1">
      <alignment vertical="center"/>
      <protection hidden="1"/>
    </xf>
    <xf numFmtId="38" fontId="25" fillId="14" borderId="56" xfId="0" applyNumberFormat="1" applyFont="1" applyFill="1" applyBorder="1" applyProtection="1">
      <alignment vertical="center"/>
      <protection hidden="1"/>
    </xf>
    <xf numFmtId="38" fontId="25" fillId="14" borderId="38" xfId="0" applyNumberFormat="1" applyFont="1" applyFill="1" applyBorder="1" applyProtection="1">
      <alignment vertical="center"/>
      <protection hidden="1"/>
    </xf>
    <xf numFmtId="38" fontId="25" fillId="14" borderId="7" xfId="0" applyNumberFormat="1" applyFont="1" applyFill="1" applyBorder="1" applyProtection="1">
      <alignment vertical="center"/>
      <protection hidden="1"/>
    </xf>
    <xf numFmtId="38" fontId="25" fillId="8" borderId="64" xfId="0" applyNumberFormat="1" applyFont="1" applyFill="1" applyBorder="1" applyProtection="1">
      <alignment vertical="center"/>
      <protection hidden="1"/>
    </xf>
    <xf numFmtId="38" fontId="25" fillId="8" borderId="12" xfId="0" applyNumberFormat="1" applyFont="1" applyFill="1" applyBorder="1" applyProtection="1">
      <alignment vertical="center"/>
      <protection hidden="1"/>
    </xf>
    <xf numFmtId="38" fontId="25" fillId="8" borderId="53" xfId="0" applyNumberFormat="1" applyFont="1" applyFill="1" applyBorder="1" applyProtection="1">
      <alignment vertical="center"/>
      <protection hidden="1"/>
    </xf>
    <xf numFmtId="38" fontId="25" fillId="8" borderId="66" xfId="0" applyNumberFormat="1" applyFont="1" applyFill="1" applyBorder="1" applyProtection="1">
      <alignment vertical="center"/>
      <protection hidden="1"/>
    </xf>
    <xf numFmtId="38" fontId="25" fillId="8" borderId="42" xfId="0" applyNumberFormat="1" applyFont="1" applyFill="1" applyBorder="1" applyProtection="1">
      <alignment vertical="center"/>
      <protection hidden="1"/>
    </xf>
    <xf numFmtId="38" fontId="25" fillId="8" borderId="67" xfId="0" applyNumberFormat="1" applyFont="1" applyFill="1" applyBorder="1" applyProtection="1">
      <alignment vertical="center"/>
      <protection hidden="1"/>
    </xf>
    <xf numFmtId="0" fontId="5" fillId="10" borderId="15" xfId="0" applyFont="1" applyFill="1" applyBorder="1" applyAlignment="1" applyProtection="1">
      <alignment horizontal="center" vertical="center" wrapText="1"/>
      <protection hidden="1"/>
    </xf>
    <xf numFmtId="0" fontId="5" fillId="10" borderId="16" xfId="0" applyFont="1" applyFill="1" applyBorder="1" applyAlignment="1" applyProtection="1">
      <alignment horizontal="center" vertical="center" wrapText="1"/>
      <protection hidden="1"/>
    </xf>
    <xf numFmtId="0" fontId="5" fillId="10" borderId="17" xfId="0" applyFont="1" applyFill="1" applyBorder="1" applyAlignment="1" applyProtection="1">
      <alignment horizontal="center" vertical="center" wrapText="1"/>
      <protection hidden="1"/>
    </xf>
    <xf numFmtId="0" fontId="43" fillId="6" borderId="2" xfId="0" applyFont="1" applyFill="1" applyBorder="1" applyAlignment="1" applyProtection="1">
      <alignment horizontal="center" vertical="center"/>
      <protection hidden="1"/>
    </xf>
    <xf numFmtId="0" fontId="25" fillId="7" borderId="3" xfId="0" applyFont="1" applyFill="1" applyBorder="1" applyAlignment="1" applyProtection="1">
      <alignment horizontal="center" vertical="center"/>
      <protection hidden="1"/>
    </xf>
    <xf numFmtId="0" fontId="25" fillId="6" borderId="18" xfId="0"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182" fontId="25" fillId="6" borderId="2" xfId="0" applyNumberFormat="1" applyFont="1" applyFill="1" applyBorder="1" applyProtection="1">
      <alignment vertical="center"/>
      <protection hidden="1"/>
    </xf>
    <xf numFmtId="0" fontId="5" fillId="2" borderId="49" xfId="0" applyFont="1" applyFill="1" applyBorder="1" applyAlignment="1" applyProtection="1">
      <alignment horizontal="center" vertical="center" wrapText="1"/>
      <protection hidden="1"/>
    </xf>
    <xf numFmtId="0" fontId="25" fillId="6" borderId="28" xfId="0" applyFont="1" applyFill="1" applyBorder="1" applyAlignment="1" applyProtection="1">
      <alignment horizontal="center" vertical="center"/>
      <protection hidden="1"/>
    </xf>
    <xf numFmtId="0" fontId="14" fillId="0" borderId="26" xfId="0" applyFont="1" applyBorder="1" applyAlignment="1" applyProtection="1">
      <alignment horizontal="center" vertical="center"/>
      <protection hidden="1"/>
    </xf>
    <xf numFmtId="0" fontId="25" fillId="7" borderId="30" xfId="0" applyFont="1" applyFill="1" applyBorder="1" applyAlignment="1" applyProtection="1">
      <alignment horizontal="center" vertical="center"/>
      <protection hidden="1"/>
    </xf>
    <xf numFmtId="0" fontId="5" fillId="17" borderId="16" xfId="0" applyFont="1" applyFill="1" applyBorder="1" applyAlignment="1" applyProtection="1">
      <alignment horizontal="center" vertical="center" wrapText="1"/>
      <protection hidden="1"/>
    </xf>
    <xf numFmtId="0" fontId="5" fillId="17" borderId="36" xfId="0" applyFont="1" applyFill="1" applyBorder="1" applyAlignment="1" applyProtection="1">
      <alignment horizontal="center" vertical="center" wrapText="1"/>
      <protection hidden="1"/>
    </xf>
    <xf numFmtId="38" fontId="25" fillId="6" borderId="1" xfId="2" applyFont="1" applyFill="1" applyBorder="1" applyProtection="1">
      <alignment vertical="center"/>
      <protection hidden="1"/>
    </xf>
    <xf numFmtId="38" fontId="25" fillId="6" borderId="6" xfId="2" applyFont="1" applyFill="1" applyBorder="1" applyProtection="1">
      <alignment vertical="center"/>
      <protection hidden="1"/>
    </xf>
    <xf numFmtId="38" fontId="25" fillId="18" borderId="1" xfId="2" applyFont="1" applyFill="1" applyBorder="1" applyProtection="1">
      <alignment vertical="center"/>
      <protection hidden="1"/>
    </xf>
    <xf numFmtId="38" fontId="25" fillId="18" borderId="53" xfId="2" applyFont="1" applyFill="1" applyBorder="1" applyProtection="1">
      <alignment vertical="center"/>
      <protection hidden="1"/>
    </xf>
    <xf numFmtId="38" fontId="25" fillId="18" borderId="6" xfId="2" applyFont="1" applyFill="1" applyBorder="1" applyProtection="1">
      <alignment vertical="center"/>
      <protection hidden="1"/>
    </xf>
    <xf numFmtId="38" fontId="25" fillId="18" borderId="67" xfId="2" applyFont="1" applyFill="1" applyBorder="1" applyProtection="1">
      <alignment vertical="center"/>
      <protection hidden="1"/>
    </xf>
    <xf numFmtId="38" fontId="25" fillId="6" borderId="3" xfId="0" applyNumberFormat="1" applyFont="1" applyFill="1" applyBorder="1" applyProtection="1">
      <alignment vertical="center"/>
      <protection hidden="1"/>
    </xf>
    <xf numFmtId="38" fontId="25" fillId="6" borderId="53" xfId="0" applyNumberFormat="1" applyFont="1" applyFill="1" applyBorder="1" applyProtection="1">
      <alignment vertical="center"/>
      <protection hidden="1"/>
    </xf>
    <xf numFmtId="0" fontId="5" fillId="2" borderId="10" xfId="0" applyFont="1" applyFill="1" applyBorder="1" applyAlignment="1" applyProtection="1">
      <alignment horizontal="center" vertical="center"/>
      <protection hidden="1"/>
    </xf>
    <xf numFmtId="0" fontId="14" fillId="2" borderId="34"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0" fontId="12" fillId="8" borderId="30" xfId="0" applyFont="1" applyFill="1" applyBorder="1" applyAlignment="1" applyProtection="1">
      <alignment horizontal="center" vertical="center" wrapText="1"/>
      <protection hidden="1"/>
    </xf>
    <xf numFmtId="0" fontId="20" fillId="7" borderId="15" xfId="0" applyFont="1" applyFill="1" applyBorder="1" applyAlignment="1" applyProtection="1">
      <alignment horizontal="center" vertical="center"/>
      <protection hidden="1"/>
    </xf>
    <xf numFmtId="0" fontId="20" fillId="7" borderId="16" xfId="0" applyFont="1" applyFill="1" applyBorder="1" applyAlignment="1" applyProtection="1">
      <alignment horizontal="center" vertical="center"/>
      <protection hidden="1"/>
    </xf>
    <xf numFmtId="0" fontId="20" fillId="7" borderId="17" xfId="0" applyFont="1" applyFill="1" applyBorder="1" applyAlignment="1" applyProtection="1">
      <alignment horizontal="center" vertical="center"/>
      <protection hidden="1"/>
    </xf>
    <xf numFmtId="0" fontId="5" fillId="19" borderId="5" xfId="0" applyFont="1" applyFill="1" applyBorder="1" applyAlignment="1" applyProtection="1">
      <alignment horizontal="center" vertical="center" wrapText="1"/>
      <protection hidden="1"/>
    </xf>
    <xf numFmtId="0" fontId="5" fillId="19" borderId="2" xfId="0" applyFont="1" applyFill="1" applyBorder="1" applyAlignment="1" applyProtection="1">
      <alignment horizontal="center" vertical="center" wrapText="1"/>
      <protection hidden="1"/>
    </xf>
    <xf numFmtId="38" fontId="25" fillId="15" borderId="2" xfId="0" applyNumberFormat="1" applyFont="1" applyFill="1" applyBorder="1" applyProtection="1">
      <alignment vertical="center"/>
      <protection hidden="1"/>
    </xf>
    <xf numFmtId="0" fontId="45" fillId="0" borderId="0" xfId="0" applyFont="1" applyProtection="1">
      <alignment vertical="center"/>
      <protection hidden="1"/>
    </xf>
    <xf numFmtId="38" fontId="25" fillId="6" borderId="6" xfId="2" applyFont="1" applyFill="1" applyBorder="1" applyAlignment="1" applyProtection="1">
      <alignment horizontal="center" vertical="center"/>
      <protection hidden="1"/>
    </xf>
    <xf numFmtId="38" fontId="25" fillId="6" borderId="7" xfId="2" applyFont="1" applyFill="1" applyBorder="1" applyAlignment="1" applyProtection="1">
      <alignment horizontal="center" vertical="center"/>
      <protection hidden="1"/>
    </xf>
    <xf numFmtId="38" fontId="25" fillId="6" borderId="28" xfId="2" applyFont="1" applyFill="1" applyBorder="1" applyAlignment="1" applyProtection="1">
      <alignment horizontal="center" vertical="center"/>
      <protection hidden="1"/>
    </xf>
    <xf numFmtId="38" fontId="25" fillId="15" borderId="12" xfId="0" applyNumberFormat="1" applyFont="1" applyFill="1" applyBorder="1" applyProtection="1">
      <alignment vertical="center"/>
      <protection hidden="1"/>
    </xf>
    <xf numFmtId="0" fontId="25" fillId="7" borderId="22" xfId="0" applyFont="1" applyFill="1" applyBorder="1" applyAlignment="1" applyProtection="1">
      <alignment horizontal="center" vertical="center"/>
      <protection hidden="1"/>
    </xf>
    <xf numFmtId="0" fontId="20" fillId="7" borderId="28" xfId="0" applyFont="1" applyFill="1" applyBorder="1" applyAlignment="1" applyProtection="1">
      <alignment horizontal="center" vertical="center"/>
      <protection hidden="1"/>
    </xf>
    <xf numFmtId="0" fontId="14" fillId="0" borderId="69" xfId="0" applyFont="1" applyBorder="1" applyProtection="1">
      <alignment vertical="center"/>
      <protection hidden="1"/>
    </xf>
    <xf numFmtId="0" fontId="18" fillId="0" borderId="0" xfId="0" applyFont="1" applyAlignment="1" applyProtection="1">
      <alignment horizontal="center" vertical="center"/>
      <protection hidden="1"/>
    </xf>
    <xf numFmtId="38" fontId="25" fillId="8" borderId="2" xfId="2" applyFont="1" applyFill="1" applyBorder="1" applyProtection="1">
      <alignment vertical="center"/>
      <protection hidden="1"/>
    </xf>
    <xf numFmtId="176" fontId="25" fillId="8" borderId="2" xfId="1" applyNumberFormat="1" applyFont="1" applyFill="1" applyBorder="1" applyProtection="1">
      <alignment vertical="center"/>
      <protection hidden="1"/>
    </xf>
    <xf numFmtId="0" fontId="5" fillId="19" borderId="3" xfId="0" applyFont="1" applyFill="1" applyBorder="1" applyAlignment="1" applyProtection="1">
      <alignment horizontal="center" vertical="center" wrapText="1"/>
      <protection hidden="1"/>
    </xf>
    <xf numFmtId="38" fontId="25" fillId="15" borderId="3" xfId="0" applyNumberFormat="1" applyFont="1" applyFill="1" applyBorder="1" applyProtection="1">
      <alignment vertical="center"/>
      <protection hidden="1"/>
    </xf>
    <xf numFmtId="38" fontId="25" fillId="15" borderId="3" xfId="2" applyFont="1" applyFill="1" applyBorder="1" applyProtection="1">
      <alignment vertical="center"/>
      <protection hidden="1"/>
    </xf>
    <xf numFmtId="38" fontId="25" fillId="6" borderId="30" xfId="2" applyFont="1" applyFill="1" applyBorder="1" applyAlignment="1" applyProtection="1">
      <alignment horizontal="center" vertical="center"/>
      <protection hidden="1"/>
    </xf>
    <xf numFmtId="38" fontId="20" fillId="6" borderId="70" xfId="2" applyFont="1" applyFill="1" applyBorder="1" applyAlignment="1" applyProtection="1">
      <alignment horizontal="center" vertical="center"/>
      <protection hidden="1"/>
    </xf>
    <xf numFmtId="176" fontId="25" fillId="6" borderId="22" xfId="1" applyNumberFormat="1" applyFont="1" applyFill="1" applyBorder="1" applyAlignment="1" applyProtection="1">
      <alignment horizontal="center" vertical="center"/>
      <protection hidden="1"/>
    </xf>
    <xf numFmtId="38" fontId="25" fillId="8" borderId="18" xfId="2" applyFont="1" applyFill="1" applyBorder="1" applyProtection="1">
      <alignment vertical="center"/>
      <protection hidden="1"/>
    </xf>
    <xf numFmtId="38" fontId="25" fillId="8" borderId="7" xfId="2" applyFont="1" applyFill="1" applyBorder="1" applyProtection="1">
      <alignment vertical="center"/>
      <protection hidden="1"/>
    </xf>
    <xf numFmtId="176" fontId="25" fillId="8" borderId="7" xfId="1" applyNumberFormat="1" applyFont="1" applyFill="1" applyBorder="1" applyProtection="1">
      <alignment vertical="center"/>
      <protection hidden="1"/>
    </xf>
    <xf numFmtId="38" fontId="25" fillId="8" borderId="19" xfId="2" applyFont="1" applyFill="1" applyBorder="1" applyProtection="1">
      <alignment vertical="center"/>
      <protection hidden="1"/>
    </xf>
    <xf numFmtId="38" fontId="25" fillId="8" borderId="64" xfId="2" applyFont="1" applyFill="1" applyBorder="1" applyProtection="1">
      <alignment vertical="center"/>
      <protection hidden="1"/>
    </xf>
    <xf numFmtId="38" fontId="25" fillId="8" borderId="66" xfId="2" applyFont="1" applyFill="1" applyBorder="1" applyProtection="1">
      <alignment vertical="center"/>
      <protection hidden="1"/>
    </xf>
    <xf numFmtId="0" fontId="46" fillId="0" borderId="0" xfId="0" applyFont="1" applyProtection="1">
      <alignment vertical="center"/>
      <protection hidden="1"/>
    </xf>
    <xf numFmtId="0" fontId="5" fillId="19" borderId="65" xfId="0" applyFont="1" applyFill="1" applyBorder="1" applyAlignment="1" applyProtection="1">
      <alignment horizontal="center" vertical="center" wrapText="1"/>
      <protection hidden="1"/>
    </xf>
    <xf numFmtId="38" fontId="25" fillId="15" borderId="65" xfId="0" applyNumberFormat="1" applyFont="1" applyFill="1" applyBorder="1" applyProtection="1">
      <alignment vertical="center"/>
      <protection hidden="1"/>
    </xf>
    <xf numFmtId="38" fontId="25" fillId="15" borderId="27" xfId="0" applyNumberFormat="1" applyFont="1" applyFill="1" applyBorder="1" applyProtection="1">
      <alignment vertical="center"/>
      <protection hidden="1"/>
    </xf>
    <xf numFmtId="177" fontId="42" fillId="0" borderId="0" xfId="1" applyNumberFormat="1" applyFont="1" applyBorder="1" applyAlignment="1" applyProtection="1">
      <alignment horizontal="center" vertical="center"/>
      <protection hidden="1"/>
    </xf>
    <xf numFmtId="0" fontId="25" fillId="0" borderId="0" xfId="0" applyFont="1">
      <alignment vertical="center"/>
    </xf>
    <xf numFmtId="188" fontId="58" fillId="0" borderId="28" xfId="1" applyNumberFormat="1" applyFont="1" applyFill="1" applyBorder="1" applyAlignment="1" applyProtection="1">
      <alignment vertical="center"/>
      <protection locked="0"/>
    </xf>
    <xf numFmtId="0" fontId="24" fillId="6" borderId="1" xfId="0" applyFont="1" applyFill="1" applyBorder="1" applyProtection="1">
      <alignment vertical="center"/>
      <protection hidden="1"/>
    </xf>
    <xf numFmtId="0" fontId="24" fillId="6" borderId="2" xfId="0" applyFont="1" applyFill="1" applyBorder="1" applyProtection="1">
      <alignment vertical="center"/>
      <protection hidden="1"/>
    </xf>
    <xf numFmtId="0" fontId="24" fillId="6" borderId="18" xfId="0" applyFont="1" applyFill="1" applyBorder="1" applyProtection="1">
      <alignment vertical="center"/>
      <protection hidden="1"/>
    </xf>
    <xf numFmtId="0" fontId="5" fillId="7" borderId="1" xfId="0" applyFont="1" applyFill="1" applyBorder="1" applyAlignment="1" applyProtection="1">
      <alignment horizontal="center" vertical="center" wrapText="1"/>
      <protection hidden="1"/>
    </xf>
    <xf numFmtId="0" fontId="5" fillId="7" borderId="2" xfId="0" applyFont="1" applyFill="1" applyBorder="1" applyAlignment="1" applyProtection="1">
      <alignment horizontal="center" vertical="center" wrapText="1"/>
      <protection hidden="1"/>
    </xf>
    <xf numFmtId="38" fontId="25" fillId="14" borderId="70" xfId="2" applyFont="1" applyFill="1" applyBorder="1" applyProtection="1">
      <alignment vertical="center"/>
      <protection hidden="1"/>
    </xf>
    <xf numFmtId="38" fontId="25" fillId="14" borderId="56" xfId="2" applyFont="1" applyFill="1" applyBorder="1" applyProtection="1">
      <alignment vertical="center"/>
      <protection hidden="1"/>
    </xf>
    <xf numFmtId="38" fontId="25" fillId="14" borderId="38" xfId="2" applyFont="1" applyFill="1" applyBorder="1" applyProtection="1">
      <alignment vertical="center"/>
      <protection hidden="1"/>
    </xf>
    <xf numFmtId="38" fontId="20" fillId="6" borderId="68" xfId="2" applyFon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14" fillId="0" borderId="13" xfId="0" applyFont="1" applyBorder="1" applyProtection="1">
      <alignment vertical="center"/>
      <protection hidden="1"/>
    </xf>
    <xf numFmtId="0" fontId="68" fillId="0" borderId="0" xfId="0" applyFont="1" applyAlignment="1" applyProtection="1">
      <alignment horizontal="left"/>
      <protection hidden="1"/>
    </xf>
    <xf numFmtId="0" fontId="54" fillId="0" borderId="0" xfId="0" applyFont="1" applyAlignment="1" applyProtection="1">
      <alignment horizontal="center"/>
      <protection hidden="1"/>
    </xf>
    <xf numFmtId="38" fontId="25" fillId="15" borderId="5" xfId="0" applyNumberFormat="1" applyFont="1" applyFill="1" applyBorder="1" applyProtection="1">
      <alignment vertical="center"/>
      <protection hidden="1"/>
    </xf>
    <xf numFmtId="38" fontId="25" fillId="15" borderId="12" xfId="2" applyFont="1" applyFill="1" applyBorder="1" applyProtection="1">
      <alignment vertical="center"/>
      <protection hidden="1"/>
    </xf>
    <xf numFmtId="176" fontId="25" fillId="15" borderId="40" xfId="1" applyNumberFormat="1" applyFont="1" applyFill="1" applyBorder="1" applyProtection="1">
      <alignment vertical="center"/>
      <protection hidden="1"/>
    </xf>
    <xf numFmtId="176" fontId="25" fillId="15" borderId="2" xfId="1" applyNumberFormat="1" applyFont="1" applyFill="1" applyBorder="1" applyProtection="1">
      <alignment vertical="center"/>
      <protection hidden="1"/>
    </xf>
    <xf numFmtId="0" fontId="44" fillId="0" borderId="0" xfId="0" applyFont="1" applyProtection="1">
      <alignment vertical="center"/>
      <protection hidden="1"/>
    </xf>
    <xf numFmtId="0" fontId="70" fillId="0" borderId="0" xfId="0" applyFont="1">
      <alignment vertical="center"/>
    </xf>
    <xf numFmtId="0" fontId="25" fillId="7" borderId="1" xfId="0" applyFont="1" applyFill="1" applyBorder="1" applyAlignment="1" applyProtection="1">
      <alignment horizontal="center" vertical="center"/>
      <protection hidden="1"/>
    </xf>
    <xf numFmtId="0" fontId="25" fillId="7" borderId="31" xfId="0" applyFont="1" applyFill="1" applyBorder="1" applyAlignment="1" applyProtection="1">
      <alignment horizontal="center" vertical="center"/>
      <protection hidden="1"/>
    </xf>
    <xf numFmtId="0" fontId="4" fillId="6" borderId="17" xfId="0" applyFont="1" applyFill="1" applyBorder="1" applyAlignment="1" applyProtection="1">
      <alignment horizontal="center" vertical="center"/>
      <protection hidden="1"/>
    </xf>
    <xf numFmtId="38" fontId="39" fillId="6" borderId="18" xfId="2" applyFont="1" applyFill="1" applyBorder="1" applyAlignment="1" applyProtection="1">
      <alignment horizontal="center" vertical="center"/>
      <protection hidden="1"/>
    </xf>
    <xf numFmtId="0" fontId="25" fillId="7" borderId="6" xfId="0" applyFont="1" applyFill="1" applyBorder="1" applyAlignment="1" applyProtection="1">
      <alignment horizontal="center" vertical="center"/>
      <protection hidden="1"/>
    </xf>
    <xf numFmtId="38" fontId="39" fillId="6" borderId="19" xfId="2" applyFont="1" applyFill="1" applyBorder="1" applyAlignment="1" applyProtection="1">
      <alignment horizontal="center" vertical="center"/>
      <protection hidden="1"/>
    </xf>
    <xf numFmtId="0" fontId="25" fillId="7" borderId="9" xfId="0" applyFont="1" applyFill="1" applyBorder="1" applyAlignment="1" applyProtection="1">
      <alignment horizontal="center" vertical="center"/>
      <protection hidden="1"/>
    </xf>
    <xf numFmtId="0" fontId="71" fillId="0" borderId="60" xfId="0" applyFont="1" applyBorder="1" applyAlignment="1" applyProtection="1">
      <alignment horizontal="center" vertical="center"/>
      <protection locked="0"/>
    </xf>
    <xf numFmtId="0" fontId="71" fillId="0" borderId="59" xfId="0" applyFont="1" applyBorder="1" applyAlignment="1" applyProtection="1">
      <alignment horizontal="center" vertical="center"/>
      <protection locked="0"/>
    </xf>
    <xf numFmtId="0" fontId="35" fillId="0" borderId="59" xfId="0" applyFont="1" applyBorder="1" applyAlignment="1" applyProtection="1">
      <alignment horizontal="center" vertical="center"/>
      <protection locked="0"/>
    </xf>
    <xf numFmtId="0" fontId="33" fillId="0" borderId="0" xfId="0" applyFont="1" applyAlignment="1" applyProtection="1">
      <alignment horizontal="center" vertical="center"/>
      <protection hidden="1"/>
    </xf>
    <xf numFmtId="0" fontId="33" fillId="0" borderId="0" xfId="0" applyFont="1" applyProtection="1">
      <alignment vertical="center"/>
      <protection hidden="1"/>
    </xf>
    <xf numFmtId="38" fontId="33" fillId="0" borderId="0" xfId="2" applyFont="1" applyAlignment="1" applyProtection="1">
      <alignment horizontal="center" vertical="center"/>
      <protection hidden="1"/>
    </xf>
    <xf numFmtId="183" fontId="33" fillId="5" borderId="58" xfId="4" applyNumberFormat="1" applyFont="1" applyFill="1" applyBorder="1" applyAlignment="1" applyProtection="1">
      <alignment horizontal="center" vertical="center"/>
      <protection hidden="1"/>
    </xf>
    <xf numFmtId="0" fontId="72" fillId="7" borderId="60" xfId="0" applyFont="1" applyFill="1" applyBorder="1" applyAlignment="1" applyProtection="1">
      <alignment horizontal="center" vertical="center"/>
      <protection hidden="1"/>
    </xf>
    <xf numFmtId="38" fontId="35" fillId="0" borderId="60" xfId="2" applyFont="1" applyFill="1" applyBorder="1" applyAlignment="1" applyProtection="1">
      <alignment horizontal="center" vertical="center"/>
      <protection locked="0"/>
    </xf>
    <xf numFmtId="0" fontId="72" fillId="0" borderId="0" xfId="0" applyFont="1" applyProtection="1">
      <alignment vertical="center"/>
      <protection hidden="1"/>
    </xf>
    <xf numFmtId="0" fontId="72" fillId="7" borderId="59" xfId="0" applyFont="1" applyFill="1" applyBorder="1" applyAlignment="1" applyProtection="1">
      <alignment horizontal="center" vertical="center"/>
      <protection hidden="1"/>
    </xf>
    <xf numFmtId="0" fontId="33" fillId="8" borderId="59" xfId="0" applyFont="1" applyFill="1" applyBorder="1" applyAlignment="1" applyProtection="1">
      <alignment horizontal="right" vertical="center"/>
      <protection hidden="1"/>
    </xf>
    <xf numFmtId="38" fontId="35" fillId="0" borderId="59" xfId="2" applyFont="1" applyFill="1" applyBorder="1" applyAlignment="1" applyProtection="1">
      <alignment horizontal="center" vertical="center"/>
      <protection locked="0"/>
    </xf>
    <xf numFmtId="0" fontId="78" fillId="0" borderId="0" xfId="0" applyFont="1" applyAlignment="1" applyProtection="1">
      <alignment horizontal="center" vertical="center"/>
      <protection hidden="1"/>
    </xf>
    <xf numFmtId="0" fontId="80" fillId="0" borderId="0" xfId="0" applyFont="1" applyAlignment="1" applyProtection="1">
      <alignment horizontal="left" vertical="center"/>
      <protection hidden="1"/>
    </xf>
    <xf numFmtId="0" fontId="33" fillId="0" borderId="0" xfId="0" applyFont="1" applyAlignment="1" applyProtection="1">
      <alignment horizontal="right" vertical="center"/>
      <protection hidden="1"/>
    </xf>
    <xf numFmtId="38" fontId="33" fillId="0" borderId="0" xfId="2" applyFont="1" applyAlignment="1" applyProtection="1">
      <alignment horizontal="right" vertical="center"/>
      <protection hidden="1"/>
    </xf>
    <xf numFmtId="38" fontId="35" fillId="0" borderId="60" xfId="2" applyFont="1" applyFill="1" applyBorder="1" applyAlignment="1" applyProtection="1">
      <alignment horizontal="right" vertical="center"/>
      <protection locked="0"/>
    </xf>
    <xf numFmtId="189" fontId="24" fillId="6" borderId="6" xfId="0" applyNumberFormat="1" applyFont="1" applyFill="1" applyBorder="1" applyProtection="1">
      <alignment vertical="center"/>
      <protection hidden="1"/>
    </xf>
    <xf numFmtId="189" fontId="24" fillId="6" borderId="7" xfId="0" applyNumberFormat="1" applyFont="1" applyFill="1" applyBorder="1" applyProtection="1">
      <alignment vertical="center"/>
      <protection hidden="1"/>
    </xf>
    <xf numFmtId="189" fontId="24" fillId="6" borderId="19" xfId="0" applyNumberFormat="1" applyFont="1" applyFill="1" applyBorder="1" applyProtection="1">
      <alignment vertical="center"/>
      <protection hidden="1"/>
    </xf>
    <xf numFmtId="0" fontId="84" fillId="0" borderId="0" xfId="0" applyFont="1" applyProtection="1">
      <alignment vertical="center"/>
      <protection hidden="1"/>
    </xf>
    <xf numFmtId="0" fontId="34" fillId="0" borderId="60" xfId="0" applyFont="1" applyBorder="1" applyAlignment="1" applyProtection="1">
      <alignment horizontal="center" vertical="center"/>
      <protection locked="0"/>
    </xf>
    <xf numFmtId="0" fontId="35" fillId="0" borderId="60" xfId="0" applyFont="1" applyBorder="1" applyAlignment="1" applyProtection="1">
      <alignment horizontal="center" vertical="center"/>
      <protection locked="0"/>
    </xf>
    <xf numFmtId="0" fontId="33" fillId="8" borderId="60" xfId="0" applyFont="1" applyFill="1" applyBorder="1" applyAlignment="1" applyProtection="1">
      <alignment horizontal="right" vertical="center"/>
      <protection hidden="1"/>
    </xf>
    <xf numFmtId="38" fontId="25" fillId="18" borderId="13" xfId="2" applyFont="1" applyFill="1" applyBorder="1" applyProtection="1">
      <alignment vertical="center"/>
      <protection hidden="1"/>
    </xf>
    <xf numFmtId="38" fontId="25" fillId="18" borderId="26" xfId="2" applyFont="1" applyFill="1" applyBorder="1" applyProtection="1">
      <alignment vertical="center"/>
      <protection hidden="1"/>
    </xf>
    <xf numFmtId="0" fontId="5" fillId="17" borderId="46" xfId="0" applyFont="1" applyFill="1" applyBorder="1" applyAlignment="1" applyProtection="1">
      <alignment horizontal="center" vertical="center" wrapText="1"/>
      <protection hidden="1"/>
    </xf>
    <xf numFmtId="0" fontId="5" fillId="17" borderId="51" xfId="0" applyFont="1" applyFill="1" applyBorder="1" applyAlignment="1" applyProtection="1">
      <alignment horizontal="center" vertical="center" wrapText="1"/>
      <protection hidden="1"/>
    </xf>
    <xf numFmtId="0" fontId="85" fillId="0" borderId="0" xfId="0" applyFont="1" applyProtection="1">
      <alignment vertical="center"/>
      <protection hidden="1"/>
    </xf>
    <xf numFmtId="0" fontId="0" fillId="0" borderId="0" xfId="0" applyProtection="1">
      <alignment vertical="center"/>
      <protection locked="0"/>
    </xf>
    <xf numFmtId="0" fontId="0" fillId="0" borderId="0" xfId="0" applyAlignment="1" applyProtection="1">
      <alignment horizontal="center" vertical="center"/>
      <protection locked="0"/>
    </xf>
    <xf numFmtId="0" fontId="41" fillId="0" borderId="0" xfId="0" applyFont="1">
      <alignment vertical="center"/>
    </xf>
    <xf numFmtId="38" fontId="0" fillId="0" borderId="0" xfId="0" applyNumberFormat="1" applyProtection="1">
      <alignment vertical="center"/>
      <protection locked="0"/>
    </xf>
    <xf numFmtId="40" fontId="35" fillId="0" borderId="60" xfId="2" applyNumberFormat="1" applyFont="1" applyFill="1" applyBorder="1" applyAlignment="1" applyProtection="1">
      <alignment horizontal="center" vertical="center"/>
      <protection locked="0"/>
    </xf>
    <xf numFmtId="40" fontId="35" fillId="0" borderId="59" xfId="2" applyNumberFormat="1" applyFont="1" applyFill="1" applyBorder="1" applyAlignment="1" applyProtection="1">
      <alignment horizontal="center"/>
      <protection locked="0"/>
    </xf>
    <xf numFmtId="38" fontId="25" fillId="6" borderId="2" xfId="0" applyNumberFormat="1" applyFont="1" applyFill="1" applyBorder="1" applyProtection="1">
      <alignment vertical="center"/>
      <protection hidden="1"/>
    </xf>
    <xf numFmtId="0" fontId="27"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18" fillId="0" borderId="0" xfId="0" applyFont="1" applyAlignment="1" applyProtection="1">
      <alignment horizontal="right" vertical="center"/>
      <protection hidden="1"/>
    </xf>
    <xf numFmtId="0" fontId="88" fillId="0" borderId="0" xfId="0" applyFont="1" applyProtection="1">
      <alignment vertical="center"/>
      <protection hidden="1"/>
    </xf>
    <xf numFmtId="0" fontId="25" fillId="0" borderId="0" xfId="0" applyFont="1" applyProtection="1">
      <alignment vertical="center"/>
      <protection locked="0"/>
    </xf>
    <xf numFmtId="0" fontId="16" fillId="0" borderId="0" xfId="0" applyFont="1">
      <alignment vertical="center"/>
    </xf>
    <xf numFmtId="0" fontId="104" fillId="0" borderId="0" xfId="0" applyFont="1" applyProtection="1">
      <alignment vertical="center"/>
      <protection hidden="1"/>
    </xf>
    <xf numFmtId="0" fontId="105" fillId="16" borderId="0" xfId="0" applyFont="1" applyFill="1" applyProtection="1">
      <alignment vertical="center"/>
      <protection hidden="1"/>
    </xf>
    <xf numFmtId="0" fontId="107" fillId="16" borderId="2" xfId="0" applyFont="1" applyFill="1" applyBorder="1" applyAlignment="1" applyProtection="1">
      <alignment horizontal="center" vertical="center"/>
      <protection hidden="1"/>
    </xf>
    <xf numFmtId="0" fontId="108" fillId="16" borderId="0" xfId="0" applyFont="1" applyFill="1" applyAlignment="1" applyProtection="1">
      <alignment horizontal="right" vertical="center"/>
      <protection hidden="1"/>
    </xf>
    <xf numFmtId="38" fontId="24" fillId="0" borderId="0" xfId="2" applyFont="1" applyFill="1" applyBorder="1" applyAlignment="1" applyProtection="1">
      <alignment horizontal="center" vertical="center"/>
      <protection hidden="1"/>
    </xf>
    <xf numFmtId="0" fontId="109" fillId="0" borderId="0" xfId="0" applyFont="1">
      <alignment vertical="center"/>
    </xf>
    <xf numFmtId="38" fontId="108" fillId="16" borderId="2" xfId="2" applyFont="1" applyFill="1" applyBorder="1" applyAlignment="1" applyProtection="1">
      <alignment horizontal="center" vertical="center"/>
      <protection hidden="1"/>
    </xf>
    <xf numFmtId="0" fontId="29" fillId="7" borderId="17" xfId="0" applyFont="1" applyFill="1" applyBorder="1" applyAlignment="1" applyProtection="1">
      <alignment horizontal="center" vertical="center"/>
      <protection hidden="1"/>
    </xf>
    <xf numFmtId="38" fontId="112" fillId="16" borderId="2" xfId="2" applyFont="1" applyFill="1" applyBorder="1" applyAlignment="1" applyProtection="1">
      <alignment horizontal="center" vertical="center"/>
      <protection hidden="1"/>
    </xf>
    <xf numFmtId="38" fontId="25" fillId="6" borderId="28" xfId="0" applyNumberFormat="1" applyFont="1" applyFill="1" applyBorder="1" applyAlignment="1" applyProtection="1">
      <alignment horizontal="center" vertical="center"/>
      <protection hidden="1"/>
    </xf>
    <xf numFmtId="0" fontId="5" fillId="17" borderId="28" xfId="0" applyFont="1" applyFill="1" applyBorder="1" applyAlignment="1" applyProtection="1">
      <alignment horizontal="center" vertical="center" wrapText="1"/>
      <protection hidden="1"/>
    </xf>
    <xf numFmtId="183" fontId="35" fillId="0" borderId="0" xfId="4" applyNumberFormat="1" applyFont="1" applyAlignment="1" applyProtection="1">
      <alignment horizontal="center" vertical="center"/>
      <protection locked="0"/>
    </xf>
    <xf numFmtId="0" fontId="36" fillId="0" borderId="0" xfId="0" applyFont="1" applyProtection="1">
      <alignment vertical="center"/>
      <protection hidden="1"/>
    </xf>
    <xf numFmtId="0" fontId="14" fillId="0" borderId="0" xfId="0" applyFont="1" applyAlignment="1" applyProtection="1">
      <alignment horizontal="right" vertical="center"/>
      <protection hidden="1"/>
    </xf>
    <xf numFmtId="38" fontId="38" fillId="0" borderId="0" xfId="2" applyFont="1" applyFill="1" applyBorder="1" applyProtection="1">
      <alignment vertical="center"/>
      <protection hidden="1"/>
    </xf>
    <xf numFmtId="38" fontId="25" fillId="6" borderId="19" xfId="0" applyNumberFormat="1" applyFont="1" applyFill="1" applyBorder="1" applyAlignment="1" applyProtection="1">
      <alignment horizontal="center" vertical="center"/>
      <protection hidden="1"/>
    </xf>
    <xf numFmtId="0" fontId="111" fillId="16" borderId="2" xfId="0" applyFont="1" applyFill="1" applyBorder="1" applyAlignment="1" applyProtection="1">
      <alignment horizontal="center" vertical="center"/>
      <protection hidden="1"/>
    </xf>
    <xf numFmtId="0" fontId="108" fillId="16" borderId="2" xfId="0" applyFont="1" applyFill="1" applyBorder="1" applyAlignment="1" applyProtection="1">
      <alignment horizontal="center" vertical="center"/>
      <protection hidden="1"/>
    </xf>
    <xf numFmtId="38" fontId="33" fillId="8" borderId="59" xfId="2" applyFont="1" applyFill="1" applyBorder="1" applyAlignment="1" applyProtection="1">
      <alignment horizontal="right"/>
      <protection hidden="1"/>
    </xf>
    <xf numFmtId="38" fontId="77" fillId="8" borderId="59" xfId="2" applyFont="1" applyFill="1" applyBorder="1" applyAlignment="1" applyProtection="1">
      <alignment horizontal="right"/>
      <protection hidden="1"/>
    </xf>
    <xf numFmtId="38" fontId="77" fillId="8" borderId="60" xfId="2" applyFont="1" applyFill="1" applyBorder="1" applyAlignment="1" applyProtection="1">
      <alignment horizontal="right" vertical="center"/>
      <protection hidden="1"/>
    </xf>
    <xf numFmtId="38" fontId="77" fillId="8" borderId="59" xfId="2" applyFont="1" applyFill="1" applyBorder="1" applyAlignment="1" applyProtection="1">
      <alignment horizontal="right" vertical="center"/>
      <protection hidden="1"/>
    </xf>
    <xf numFmtId="38" fontId="77" fillId="8" borderId="81" xfId="2" applyFont="1" applyFill="1" applyBorder="1" applyAlignment="1" applyProtection="1">
      <alignment horizontal="right" vertical="center"/>
      <protection hidden="1"/>
    </xf>
    <xf numFmtId="0" fontId="79" fillId="0" borderId="0" xfId="0" applyFont="1" applyAlignment="1" applyProtection="1">
      <alignment horizontal="center" vertical="center"/>
      <protection locked="0"/>
    </xf>
    <xf numFmtId="0" fontId="79" fillId="0" borderId="0" xfId="0" applyFont="1" applyProtection="1">
      <alignment vertical="center"/>
      <protection locked="0"/>
    </xf>
    <xf numFmtId="0" fontId="73" fillId="0" borderId="0" xfId="0" applyFont="1" applyAlignment="1" applyProtection="1">
      <alignment horizontal="left" vertical="center"/>
      <protection locked="0"/>
    </xf>
    <xf numFmtId="0" fontId="74" fillId="0" borderId="0" xfId="0" applyFont="1" applyAlignment="1" applyProtection="1">
      <alignment horizontal="left" vertical="center"/>
      <protection locked="0"/>
    </xf>
    <xf numFmtId="0" fontId="75" fillId="0" borderId="0" xfId="0" applyFont="1" applyAlignment="1" applyProtection="1">
      <alignment horizontal="left" vertical="center"/>
      <protection locked="0"/>
    </xf>
    <xf numFmtId="0" fontId="33" fillId="0" borderId="0" xfId="0" applyFont="1" applyProtection="1">
      <alignment vertical="center"/>
      <protection locked="0"/>
    </xf>
    <xf numFmtId="0" fontId="74" fillId="0" borderId="0" xfId="0" applyFont="1" applyAlignment="1" applyProtection="1">
      <alignment horizontal="center" vertical="center"/>
      <protection locked="0"/>
    </xf>
    <xf numFmtId="0" fontId="5" fillId="0" borderId="0" xfId="0" applyFont="1" applyAlignment="1" applyProtection="1">
      <alignment vertical="top"/>
      <protection locked="0"/>
    </xf>
    <xf numFmtId="0" fontId="76" fillId="0" borderId="0" xfId="0" applyFont="1" applyAlignment="1" applyProtection="1">
      <alignment horizontal="left" vertical="center"/>
      <protection locked="0"/>
    </xf>
    <xf numFmtId="0" fontId="74" fillId="0" borderId="0" xfId="0" applyFont="1" applyProtection="1">
      <alignment vertical="center"/>
      <protection locked="0"/>
    </xf>
    <xf numFmtId="0" fontId="33" fillId="0" borderId="0" xfId="0" applyFont="1" applyAlignment="1" applyProtection="1">
      <alignment horizontal="center" vertical="center"/>
      <protection locked="0"/>
    </xf>
    <xf numFmtId="0" fontId="33" fillId="0" borderId="0" xfId="0" applyFont="1" applyAlignment="1" applyProtection="1">
      <alignment horizontal="right" vertical="center"/>
      <protection locked="0"/>
    </xf>
    <xf numFmtId="38" fontId="35" fillId="0" borderId="0" xfId="2" applyFont="1" applyBorder="1" applyAlignment="1" applyProtection="1">
      <alignment horizontal="right" vertical="center"/>
      <protection locked="0"/>
    </xf>
    <xf numFmtId="38" fontId="33" fillId="0" borderId="0" xfId="2" applyFont="1" applyAlignment="1" applyProtection="1">
      <alignment horizontal="right" vertical="center"/>
      <protection locked="0"/>
    </xf>
    <xf numFmtId="38" fontId="35" fillId="0" borderId="0" xfId="2" applyFont="1" applyBorder="1" applyAlignment="1" applyProtection="1">
      <alignment horizontal="center" vertical="center"/>
      <protection locked="0"/>
    </xf>
    <xf numFmtId="37" fontId="33" fillId="4" borderId="57" xfId="4" applyFont="1" applyFill="1" applyBorder="1" applyAlignment="1" applyProtection="1">
      <alignment horizontal="center" vertical="center"/>
      <protection locked="0"/>
    </xf>
    <xf numFmtId="37" fontId="33" fillId="0" borderId="0" xfId="4" applyFont="1" applyAlignment="1" applyProtection="1">
      <alignment horizontal="center" vertical="center"/>
      <protection locked="0"/>
    </xf>
    <xf numFmtId="38" fontId="33" fillId="0" borderId="0" xfId="2" applyFont="1" applyFill="1" applyBorder="1" applyAlignment="1" applyProtection="1">
      <alignment horizontal="right" vertical="center"/>
      <protection locked="0"/>
    </xf>
    <xf numFmtId="0" fontId="68" fillId="0" borderId="0" xfId="0" applyFont="1" applyAlignment="1" applyProtection="1">
      <alignment horizontal="left"/>
      <protection locked="0"/>
    </xf>
    <xf numFmtId="38" fontId="33" fillId="0" borderId="0" xfId="2" applyFont="1" applyAlignment="1" applyProtection="1">
      <alignment horizontal="center" vertical="center"/>
      <protection locked="0"/>
    </xf>
    <xf numFmtId="38" fontId="33" fillId="0" borderId="0" xfId="0" applyNumberFormat="1" applyFont="1" applyAlignment="1" applyProtection="1">
      <alignment horizontal="right" vertical="center"/>
      <protection locked="0"/>
    </xf>
    <xf numFmtId="38" fontId="33" fillId="0" borderId="0" xfId="0" applyNumberFormat="1" applyFont="1" applyAlignment="1" applyProtection="1">
      <alignment horizontal="center" vertical="center"/>
      <protection locked="0"/>
    </xf>
    <xf numFmtId="38" fontId="74" fillId="0" borderId="0" xfId="2" applyFont="1" applyFill="1" applyBorder="1" applyAlignment="1" applyProtection="1">
      <alignment horizontal="right" vertical="center"/>
      <protection locked="0"/>
    </xf>
    <xf numFmtId="183" fontId="33" fillId="0" borderId="0" xfId="4" applyNumberFormat="1" applyFont="1" applyAlignment="1" applyProtection="1">
      <alignment horizontal="center" vertical="center"/>
      <protection locked="0"/>
    </xf>
    <xf numFmtId="38" fontId="72" fillId="0" borderId="0" xfId="2" applyFont="1" applyFill="1" applyBorder="1" applyAlignment="1" applyProtection="1">
      <alignment horizontal="center" vertical="center"/>
      <protection locked="0"/>
    </xf>
    <xf numFmtId="38" fontId="86" fillId="0" borderId="0" xfId="0" applyNumberFormat="1" applyFont="1" applyAlignment="1" applyProtection="1">
      <alignment horizontal="center" vertical="center"/>
      <protection locked="0"/>
    </xf>
    <xf numFmtId="0" fontId="37" fillId="0" borderId="0" xfId="0" applyFont="1" applyAlignment="1" applyProtection="1">
      <alignment horizontal="left" vertical="center"/>
      <protection locked="0"/>
    </xf>
    <xf numFmtId="38" fontId="33" fillId="0" borderId="0" xfId="2" applyFont="1" applyFill="1" applyBorder="1" applyAlignment="1" applyProtection="1">
      <alignment horizontal="left" vertical="center"/>
      <protection locked="0"/>
    </xf>
    <xf numFmtId="38" fontId="72" fillId="9" borderId="3" xfId="0" applyNumberFormat="1" applyFont="1" applyFill="1" applyBorder="1" applyProtection="1">
      <alignment vertical="center"/>
      <protection locked="0"/>
    </xf>
    <xf numFmtId="38" fontId="72" fillId="9" borderId="5" xfId="0" applyNumberFormat="1" applyFont="1" applyFill="1" applyBorder="1" applyProtection="1">
      <alignment vertical="center"/>
      <protection locked="0"/>
    </xf>
    <xf numFmtId="38" fontId="33" fillId="0" borderId="0" xfId="0" applyNumberFormat="1" applyFont="1" applyAlignment="1" applyProtection="1">
      <alignment horizontal="left" vertical="center"/>
      <protection locked="0"/>
    </xf>
    <xf numFmtId="0" fontId="33" fillId="0" borderId="13" xfId="0" quotePrefix="1" applyFont="1" applyBorder="1" applyAlignment="1" applyProtection="1">
      <alignment horizontal="right" vertical="center"/>
      <protection locked="0"/>
    </xf>
    <xf numFmtId="38" fontId="33" fillId="8" borderId="10" xfId="2" applyFont="1" applyFill="1" applyBorder="1" applyAlignment="1" applyProtection="1">
      <alignment horizontal="left" vertical="center"/>
      <protection locked="0"/>
    </xf>
    <xf numFmtId="0" fontId="33" fillId="8" borderId="10" xfId="0" applyFont="1" applyFill="1" applyBorder="1" applyAlignment="1" applyProtection="1">
      <alignment horizontal="left" vertical="center"/>
      <protection locked="0"/>
    </xf>
    <xf numFmtId="38" fontId="33" fillId="8" borderId="48" xfId="2" applyFont="1" applyFill="1" applyBorder="1" applyAlignment="1" applyProtection="1">
      <alignment horizontal="center" vertical="center"/>
      <protection locked="0"/>
    </xf>
    <xf numFmtId="38" fontId="33" fillId="8" borderId="39" xfId="2" applyFont="1" applyFill="1" applyBorder="1" applyAlignment="1" applyProtection="1">
      <alignment horizontal="center" vertical="center"/>
      <protection locked="0"/>
    </xf>
    <xf numFmtId="38" fontId="33" fillId="0" borderId="0" xfId="2" applyFont="1" applyFill="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72" fillId="7" borderId="48" xfId="0" applyFont="1" applyFill="1" applyBorder="1" applyAlignment="1" applyProtection="1">
      <alignment horizontal="center" vertical="center"/>
      <protection locked="0"/>
    </xf>
    <xf numFmtId="0" fontId="33" fillId="7" borderId="2" xfId="0" applyFont="1" applyFill="1" applyBorder="1" applyAlignment="1" applyProtection="1">
      <alignment horizontal="center" vertical="center"/>
      <protection locked="0"/>
    </xf>
    <xf numFmtId="0" fontId="33" fillId="8" borderId="5" xfId="0" applyFont="1" applyFill="1" applyBorder="1" applyAlignment="1" applyProtection="1">
      <alignment horizontal="center" vertical="center"/>
      <protection locked="0"/>
    </xf>
    <xf numFmtId="0" fontId="33" fillId="8" borderId="2" xfId="0" applyFont="1" applyFill="1" applyBorder="1" applyAlignment="1" applyProtection="1">
      <alignment horizontal="center" vertical="center"/>
      <protection locked="0"/>
    </xf>
    <xf numFmtId="0" fontId="33" fillId="8" borderId="2" xfId="0" applyFont="1" applyFill="1" applyBorder="1" applyAlignment="1" applyProtection="1">
      <alignment horizontal="center" vertical="center" wrapText="1"/>
      <protection locked="0"/>
    </xf>
    <xf numFmtId="0" fontId="33" fillId="14" borderId="10" xfId="0" applyFont="1" applyFill="1" applyBorder="1" applyAlignment="1" applyProtection="1">
      <alignment horizontal="left" vertical="center"/>
      <protection locked="0"/>
    </xf>
    <xf numFmtId="0" fontId="33" fillId="14" borderId="10" xfId="0" applyFont="1" applyFill="1" applyBorder="1" applyAlignment="1" applyProtection="1">
      <alignment horizontal="left" vertical="center" wrapText="1"/>
      <protection locked="0"/>
    </xf>
    <xf numFmtId="0" fontId="33" fillId="14" borderId="48" xfId="0" applyFont="1" applyFill="1" applyBorder="1" applyAlignment="1" applyProtection="1">
      <alignment vertical="center" wrapText="1"/>
      <protection locked="0"/>
    </xf>
    <xf numFmtId="0" fontId="72" fillId="7" borderId="13" xfId="0" applyFont="1" applyFill="1" applyBorder="1" applyAlignment="1" applyProtection="1">
      <alignment horizontal="center" vertical="center"/>
      <protection locked="0"/>
    </xf>
    <xf numFmtId="0" fontId="33" fillId="8" borderId="3" xfId="0" applyFont="1" applyFill="1" applyBorder="1" applyAlignment="1" applyProtection="1">
      <alignment horizontal="center" vertical="center" wrapText="1"/>
      <protection locked="0"/>
    </xf>
    <xf numFmtId="9" fontId="47" fillId="16" borderId="28" xfId="1" applyFont="1" applyFill="1" applyBorder="1" applyAlignment="1" applyProtection="1">
      <alignment horizontal="center" vertical="center"/>
    </xf>
    <xf numFmtId="0" fontId="61" fillId="0" borderId="0" xfId="0" applyFont="1" applyAlignment="1" applyProtection="1">
      <alignment horizontal="left" vertical="center"/>
      <protection locked="0"/>
    </xf>
    <xf numFmtId="0" fontId="62" fillId="0" borderId="0" xfId="0" applyFont="1" applyProtection="1">
      <alignment vertical="center"/>
      <protection locked="0"/>
    </xf>
    <xf numFmtId="0" fontId="9" fillId="0" borderId="0" xfId="0" applyFont="1" applyProtection="1">
      <alignment vertical="center"/>
      <protection locked="0"/>
    </xf>
    <xf numFmtId="0" fontId="15" fillId="0" borderId="0" xfId="0" applyFont="1" applyProtection="1">
      <alignment vertical="center"/>
      <protection locked="0"/>
    </xf>
    <xf numFmtId="0" fontId="45" fillId="0" borderId="0" xfId="0" applyFont="1" applyProtection="1">
      <alignment vertical="center"/>
      <protection locked="0"/>
    </xf>
    <xf numFmtId="0" fontId="51" fillId="0" borderId="0" xfId="0" applyFont="1" applyProtection="1">
      <alignment vertical="center"/>
      <protection locked="0"/>
    </xf>
    <xf numFmtId="0" fontId="43" fillId="0" borderId="0" xfId="0" applyFont="1" applyAlignment="1" applyProtection="1">
      <alignment horizontal="left" vertical="center"/>
      <protection locked="0"/>
    </xf>
    <xf numFmtId="0" fontId="50" fillId="0" borderId="0" xfId="0" applyFont="1" applyProtection="1">
      <alignment vertical="center"/>
      <protection locked="0"/>
    </xf>
    <xf numFmtId="0" fontId="43" fillId="0" borderId="0" xfId="0" applyFont="1" applyAlignment="1" applyProtection="1">
      <alignment horizontal="center" vertical="center"/>
      <protection locked="0"/>
    </xf>
    <xf numFmtId="0" fontId="4" fillId="6" borderId="28"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protection locked="0"/>
    </xf>
    <xf numFmtId="0" fontId="2" fillId="0" borderId="0" xfId="0" applyFont="1" applyAlignment="1" applyProtection="1">
      <alignment horizontal="center" vertical="top"/>
      <protection locked="0"/>
    </xf>
    <xf numFmtId="177" fontId="11" fillId="0" borderId="0" xfId="1" applyNumberFormat="1" applyFont="1" applyFill="1" applyBorder="1" applyAlignment="1" applyProtection="1">
      <alignment vertical="center"/>
      <protection locked="0"/>
    </xf>
    <xf numFmtId="0" fontId="8" fillId="0" borderId="0" xfId="0" applyFont="1" applyAlignment="1" applyProtection="1">
      <alignment vertical="top"/>
      <protection locked="0"/>
    </xf>
    <xf numFmtId="0" fontId="42" fillId="0" borderId="0" xfId="0" applyFont="1" applyProtection="1">
      <alignment vertical="center"/>
      <protection locked="0"/>
    </xf>
    <xf numFmtId="0" fontId="56" fillId="0" borderId="0" xfId="0" applyFont="1" applyAlignment="1" applyProtection="1">
      <alignment horizontal="center" vertical="center"/>
      <protection locked="0"/>
    </xf>
    <xf numFmtId="0" fontId="55" fillId="0" borderId="0" xfId="3" applyFont="1" applyFill="1" applyProtection="1">
      <alignment vertical="center"/>
      <protection locked="0"/>
    </xf>
    <xf numFmtId="0" fontId="60" fillId="0" borderId="0" xfId="0" applyFont="1" applyAlignment="1" applyProtection="1">
      <alignment horizontal="left" vertical="center"/>
      <protection locked="0"/>
    </xf>
    <xf numFmtId="0" fontId="2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43" fillId="6" borderId="79" xfId="0" applyFont="1" applyFill="1" applyBorder="1" applyAlignment="1" applyProtection="1">
      <alignment horizontal="center" vertical="center"/>
      <protection locked="0"/>
    </xf>
    <xf numFmtId="0" fontId="43" fillId="6" borderId="42" xfId="0" applyFont="1" applyFill="1" applyBorder="1" applyAlignment="1" applyProtection="1">
      <alignment horizontal="center" vertical="center"/>
      <protection locked="0"/>
    </xf>
    <xf numFmtId="0" fontId="43" fillId="6" borderId="67" xfId="0" applyFont="1" applyFill="1" applyBorder="1" applyAlignment="1" applyProtection="1">
      <alignment horizontal="center" vertical="center"/>
      <protection locked="0"/>
    </xf>
    <xf numFmtId="10" fontId="43" fillId="6" borderId="38" xfId="0" applyNumberFormat="1" applyFont="1" applyFill="1" applyBorder="1" applyAlignment="1" applyProtection="1">
      <alignment horizontal="center" vertical="center"/>
      <protection locked="0"/>
    </xf>
    <xf numFmtId="0" fontId="43" fillId="14" borderId="66" xfId="0" applyFont="1" applyFill="1" applyBorder="1" applyAlignment="1" applyProtection="1">
      <alignment horizontal="center" vertical="center"/>
      <protection locked="0"/>
    </xf>
    <xf numFmtId="0" fontId="43" fillId="14" borderId="42" xfId="0" applyFont="1" applyFill="1" applyBorder="1" applyAlignment="1" applyProtection="1">
      <alignment horizontal="center" vertical="center"/>
      <protection locked="0"/>
    </xf>
    <xf numFmtId="0" fontId="43" fillId="14" borderId="67" xfId="0" applyFont="1" applyFill="1" applyBorder="1" applyAlignment="1" applyProtection="1">
      <alignment horizontal="center" vertical="center"/>
      <protection locked="0"/>
    </xf>
    <xf numFmtId="10" fontId="43" fillId="14" borderId="38" xfId="0" applyNumberFormat="1" applyFont="1" applyFill="1" applyBorder="1" applyAlignment="1" applyProtection="1">
      <alignment horizontal="center" vertical="center"/>
      <protection locked="0"/>
    </xf>
    <xf numFmtId="0" fontId="43" fillId="17" borderId="66" xfId="0" applyFont="1" applyFill="1" applyBorder="1" applyAlignment="1" applyProtection="1">
      <alignment horizontal="center" vertical="center"/>
      <protection locked="0"/>
    </xf>
    <xf numFmtId="0" fontId="43" fillId="17" borderId="42" xfId="0" applyFont="1" applyFill="1" applyBorder="1" applyAlignment="1" applyProtection="1">
      <alignment horizontal="center" vertical="center"/>
      <protection locked="0"/>
    </xf>
    <xf numFmtId="0" fontId="43" fillId="17" borderId="26" xfId="0" applyFont="1" applyFill="1" applyBorder="1" applyAlignment="1" applyProtection="1">
      <alignment horizontal="center" vertical="center"/>
      <protection locked="0"/>
    </xf>
    <xf numFmtId="10" fontId="43" fillId="17" borderId="26" xfId="0" applyNumberFormat="1" applyFont="1" applyFill="1" applyBorder="1" applyAlignment="1" applyProtection="1">
      <alignment horizontal="center" vertical="center"/>
      <protection locked="0"/>
    </xf>
    <xf numFmtId="0" fontId="14" fillId="0" borderId="0" xfId="0" applyFont="1" applyProtection="1">
      <alignment vertical="center"/>
      <protection locked="0"/>
    </xf>
    <xf numFmtId="0" fontId="0" fillId="16" borderId="44" xfId="0" applyFill="1" applyBorder="1" applyAlignment="1" applyProtection="1">
      <alignment horizontal="center" vertical="center"/>
      <protection locked="0"/>
    </xf>
    <xf numFmtId="0" fontId="26" fillId="0" borderId="44" xfId="0" applyFont="1" applyBorder="1" applyAlignment="1" applyProtection="1">
      <alignment horizontal="center" vertical="center"/>
      <protection locked="0"/>
    </xf>
    <xf numFmtId="10" fontId="26" fillId="0" borderId="79" xfId="0" applyNumberFormat="1" applyFont="1" applyBorder="1" applyAlignment="1" applyProtection="1">
      <alignment horizontal="right" vertical="center"/>
      <protection locked="0"/>
    </xf>
    <xf numFmtId="184" fontId="26" fillId="0" borderId="42" xfId="0" applyNumberFormat="1" applyFont="1" applyBorder="1" applyProtection="1">
      <alignment vertical="center"/>
      <protection locked="0"/>
    </xf>
    <xf numFmtId="184" fontId="26" fillId="0" borderId="67" xfId="0" applyNumberFormat="1" applyFont="1" applyBorder="1" applyProtection="1">
      <alignment vertical="center"/>
      <protection locked="0"/>
    </xf>
    <xf numFmtId="10" fontId="26" fillId="0" borderId="66" xfId="0" applyNumberFormat="1" applyFont="1" applyBorder="1" applyAlignment="1" applyProtection="1">
      <alignment horizontal="right" vertical="center"/>
      <protection locked="0"/>
    </xf>
    <xf numFmtId="10" fontId="26" fillId="0" borderId="66" xfId="0" applyNumberFormat="1" applyFont="1" applyBorder="1" applyProtection="1">
      <alignment vertical="center"/>
      <protection locked="0"/>
    </xf>
    <xf numFmtId="184" fontId="38" fillId="16" borderId="80" xfId="0" applyNumberFormat="1" applyFont="1" applyFill="1" applyBorder="1" applyProtection="1">
      <alignment vertical="center"/>
      <protection locked="0"/>
    </xf>
    <xf numFmtId="184" fontId="26" fillId="0" borderId="77" xfId="0" applyNumberFormat="1" applyFont="1" applyBorder="1" applyProtection="1">
      <alignment vertical="center"/>
      <protection locked="0"/>
    </xf>
    <xf numFmtId="10" fontId="26" fillId="0" borderId="68" xfId="0" applyNumberFormat="1" applyFont="1" applyBorder="1" applyAlignment="1" applyProtection="1">
      <alignment horizontal="center" vertical="center"/>
      <protection locked="0"/>
    </xf>
    <xf numFmtId="10" fontId="26" fillId="0" borderId="62" xfId="0" applyNumberFormat="1" applyFont="1" applyBorder="1" applyAlignment="1" applyProtection="1">
      <alignment horizontal="right" vertical="center"/>
      <protection locked="0"/>
    </xf>
    <xf numFmtId="184" fontId="26" fillId="0" borderId="7" xfId="0" applyNumberFormat="1" applyFont="1" applyBorder="1" applyProtection="1">
      <alignment vertical="center"/>
      <protection locked="0"/>
    </xf>
    <xf numFmtId="184" fontId="26" fillId="0" borderId="19" xfId="0" applyNumberFormat="1" applyFont="1" applyBorder="1" applyProtection="1">
      <alignment vertical="center"/>
      <protection locked="0"/>
    </xf>
    <xf numFmtId="10" fontId="26" fillId="0" borderId="6" xfId="0" applyNumberFormat="1" applyFont="1" applyBorder="1" applyAlignment="1" applyProtection="1">
      <alignment horizontal="right" vertical="center"/>
      <protection locked="0"/>
    </xf>
    <xf numFmtId="10" fontId="26" fillId="0" borderId="6" xfId="0" applyNumberFormat="1" applyFont="1" applyBorder="1" applyProtection="1">
      <alignment vertical="center"/>
      <protection locked="0"/>
    </xf>
    <xf numFmtId="184" fontId="38" fillId="16" borderId="78" xfId="0" applyNumberFormat="1" applyFont="1" applyFill="1" applyBorder="1" applyProtection="1">
      <alignment vertical="center"/>
      <protection locked="0"/>
    </xf>
    <xf numFmtId="184" fontId="26" fillId="0" borderId="8" xfId="0" applyNumberFormat="1" applyFont="1" applyBorder="1" applyProtection="1">
      <alignment vertical="center"/>
      <protection locked="0"/>
    </xf>
    <xf numFmtId="10" fontId="26" fillId="0" borderId="38" xfId="0" applyNumberFormat="1" applyFont="1" applyBorder="1" applyAlignment="1" applyProtection="1">
      <alignment horizontal="center" vertical="center"/>
      <protection locked="0"/>
    </xf>
    <xf numFmtId="10" fontId="43" fillId="0" borderId="0" xfId="0" applyNumberFormat="1" applyFont="1" applyAlignment="1" applyProtection="1">
      <alignment horizontal="center" vertical="center"/>
      <protection locked="0"/>
    </xf>
    <xf numFmtId="184" fontId="43" fillId="0" borderId="0" xfId="0" applyNumberFormat="1" applyFont="1" applyProtection="1">
      <alignment vertical="center"/>
      <protection locked="0"/>
    </xf>
    <xf numFmtId="184" fontId="43" fillId="0" borderId="0" xfId="0" applyNumberFormat="1" applyFont="1" applyAlignment="1" applyProtection="1">
      <alignment horizontal="right" vertical="center"/>
      <protection locked="0"/>
    </xf>
    <xf numFmtId="181" fontId="0" fillId="0" borderId="0" xfId="0" applyNumberFormat="1" applyAlignment="1" applyProtection="1">
      <alignment horizontal="center" vertical="center"/>
      <protection locked="0"/>
    </xf>
    <xf numFmtId="0" fontId="25" fillId="0" borderId="0" xfId="0" applyFont="1" applyAlignment="1" applyProtection="1">
      <alignment horizontal="center" vertical="center"/>
      <protection locked="0"/>
    </xf>
    <xf numFmtId="0" fontId="43" fillId="6" borderId="28" xfId="0" applyFont="1" applyFill="1" applyBorder="1" applyAlignment="1" applyProtection="1">
      <alignment horizontal="center" vertical="center"/>
      <protection locked="0"/>
    </xf>
    <xf numFmtId="0" fontId="43" fillId="6" borderId="74" xfId="0" applyFont="1" applyFill="1" applyBorder="1" applyAlignment="1" applyProtection="1">
      <alignment horizontal="center" vertical="center"/>
      <protection locked="0"/>
    </xf>
    <xf numFmtId="0" fontId="43" fillId="6" borderId="54" xfId="0" applyFont="1" applyFill="1" applyBorder="1" applyAlignment="1" applyProtection="1">
      <alignment horizontal="center" vertical="center"/>
      <protection locked="0"/>
    </xf>
    <xf numFmtId="0" fontId="43" fillId="25" borderId="28" xfId="0" applyFont="1" applyFill="1" applyBorder="1" applyAlignment="1" applyProtection="1">
      <alignment horizontal="center" vertical="center"/>
      <protection locked="0"/>
    </xf>
    <xf numFmtId="0" fontId="0" fillId="16" borderId="43" xfId="0" applyFill="1" applyBorder="1" applyAlignment="1" applyProtection="1">
      <alignment horizontal="center" vertical="center"/>
      <protection locked="0"/>
    </xf>
    <xf numFmtId="0" fontId="27" fillId="0" borderId="45" xfId="0" applyFont="1" applyBorder="1" applyAlignment="1" applyProtection="1">
      <alignment horizontal="center" vertical="center"/>
      <protection locked="0"/>
    </xf>
    <xf numFmtId="38" fontId="27" fillId="0" borderId="43" xfId="2" applyFont="1" applyBorder="1" applyProtection="1">
      <alignment vertical="center"/>
      <protection locked="0"/>
    </xf>
    <xf numFmtId="38" fontId="27" fillId="0" borderId="46" xfId="2" applyFont="1" applyBorder="1" applyProtection="1">
      <alignment vertical="center"/>
      <protection locked="0"/>
    </xf>
    <xf numFmtId="9" fontId="27" fillId="0" borderId="47" xfId="1" applyFont="1" applyBorder="1" applyAlignment="1" applyProtection="1">
      <alignment horizontal="center" vertical="center"/>
      <protection locked="0"/>
    </xf>
    <xf numFmtId="9" fontId="27" fillId="0" borderId="45" xfId="1" applyFont="1" applyBorder="1" applyAlignment="1" applyProtection="1">
      <alignment horizontal="center" vertical="center"/>
      <protection locked="0"/>
    </xf>
    <xf numFmtId="38" fontId="66" fillId="0" borderId="68" xfId="2" applyFont="1" applyFill="1" applyBorder="1" applyAlignment="1" applyProtection="1">
      <alignment horizontal="center" vertical="center"/>
      <protection locked="0"/>
    </xf>
    <xf numFmtId="10" fontId="18" fillId="0" borderId="68" xfId="0" applyNumberFormat="1" applyFont="1" applyBorder="1" applyAlignment="1" applyProtection="1">
      <alignment horizontal="center" vertical="center"/>
      <protection locked="0"/>
    </xf>
    <xf numFmtId="38" fontId="64" fillId="0" borderId="68" xfId="2" applyFont="1" applyFill="1" applyBorder="1" applyAlignment="1" applyProtection="1">
      <alignment horizontal="center" vertical="center"/>
      <protection locked="0"/>
    </xf>
    <xf numFmtId="38" fontId="64" fillId="0" borderId="28" xfId="2" applyFont="1" applyFill="1" applyBorder="1" applyAlignment="1" applyProtection="1">
      <alignment horizontal="center" vertical="center"/>
      <protection locked="0"/>
    </xf>
    <xf numFmtId="9" fontId="26" fillId="0" borderId="28" xfId="1" applyFont="1" applyBorder="1" applyAlignment="1" applyProtection="1">
      <alignment horizontal="center" vertical="center"/>
      <protection locked="0"/>
    </xf>
    <xf numFmtId="38" fontId="26" fillId="0" borderId="0" xfId="2" applyFont="1" applyBorder="1" applyProtection="1">
      <alignment vertical="center"/>
      <protection locked="0"/>
    </xf>
    <xf numFmtId="0" fontId="26" fillId="0" borderId="0" xfId="0" applyFont="1" applyAlignment="1" applyProtection="1">
      <alignment horizontal="center" vertical="center"/>
      <protection locked="0"/>
    </xf>
    <xf numFmtId="0" fontId="109" fillId="29" borderId="0" xfId="0" applyFont="1" applyFill="1">
      <alignment vertical="center"/>
    </xf>
    <xf numFmtId="0" fontId="19" fillId="29" borderId="0" xfId="0" applyFont="1" applyFill="1">
      <alignment vertical="center"/>
    </xf>
    <xf numFmtId="0" fontId="29" fillId="29" borderId="0" xfId="0" applyFont="1" applyFill="1">
      <alignment vertical="center"/>
    </xf>
    <xf numFmtId="0" fontId="20" fillId="24" borderId="3" xfId="0" applyFont="1" applyFill="1" applyBorder="1" applyAlignment="1">
      <alignment horizontal="center" vertical="center"/>
    </xf>
    <xf numFmtId="0" fontId="98" fillId="11" borderId="2" xfId="0" applyFont="1" applyFill="1" applyBorder="1" applyAlignment="1">
      <alignment horizontal="center" vertical="center"/>
    </xf>
    <xf numFmtId="0" fontId="20" fillId="24" borderId="9" xfId="0" applyFont="1" applyFill="1" applyBorder="1" applyAlignment="1">
      <alignment horizontal="center" vertical="center" wrapText="1"/>
    </xf>
    <xf numFmtId="0" fontId="29" fillId="7" borderId="2" xfId="0" applyFont="1" applyFill="1" applyBorder="1" applyAlignment="1">
      <alignment horizontal="center" vertical="center" wrapText="1"/>
    </xf>
    <xf numFmtId="0" fontId="20" fillId="7" borderId="2" xfId="0" applyFont="1" applyFill="1" applyBorder="1" applyAlignment="1">
      <alignment horizontal="center" vertical="center"/>
    </xf>
    <xf numFmtId="0" fontId="29" fillId="16" borderId="9" xfId="0" applyFont="1" applyFill="1" applyBorder="1" applyAlignment="1">
      <alignment horizontal="center" vertical="center"/>
    </xf>
    <xf numFmtId="0" fontId="5" fillId="7" borderId="2" xfId="0" applyFont="1" applyFill="1" applyBorder="1" applyAlignment="1">
      <alignment horizontal="center" vertical="center"/>
    </xf>
    <xf numFmtId="0" fontId="25" fillId="7" borderId="2" xfId="0" applyFont="1" applyFill="1" applyBorder="1" applyAlignment="1">
      <alignment horizontal="center" vertical="center"/>
    </xf>
    <xf numFmtId="38" fontId="43" fillId="6" borderId="2" xfId="2" applyFont="1" applyFill="1" applyBorder="1" applyAlignment="1" applyProtection="1">
      <alignment horizontal="center" vertical="center"/>
    </xf>
    <xf numFmtId="0" fontId="110" fillId="0" borderId="0" xfId="0" applyFont="1">
      <alignment vertical="center"/>
    </xf>
    <xf numFmtId="0" fontId="106" fillId="16" borderId="0" xfId="0" applyFont="1" applyFill="1" applyProtection="1">
      <alignment vertical="center"/>
      <protection hidden="1"/>
    </xf>
    <xf numFmtId="0" fontId="25" fillId="7" borderId="74" xfId="0" applyFont="1" applyFill="1" applyBorder="1" applyAlignment="1" applyProtection="1">
      <alignment horizontal="center" vertical="center"/>
      <protection hidden="1"/>
    </xf>
    <xf numFmtId="0" fontId="25" fillId="7" borderId="68" xfId="0" applyFont="1" applyFill="1" applyBorder="1" applyAlignment="1" applyProtection="1">
      <alignment horizontal="center" vertical="center"/>
      <protection hidden="1"/>
    </xf>
    <xf numFmtId="38" fontId="67" fillId="7" borderId="2" xfId="2" applyFont="1" applyFill="1" applyBorder="1" applyAlignment="1" applyProtection="1">
      <alignment horizontal="center" vertical="center"/>
      <protection hidden="1"/>
    </xf>
    <xf numFmtId="38" fontId="65" fillId="6" borderId="2" xfId="2" applyFont="1" applyFill="1" applyBorder="1" applyAlignment="1" applyProtection="1">
      <alignment horizontal="center" vertical="center"/>
      <protection hidden="1"/>
    </xf>
    <xf numFmtId="0" fontId="25" fillId="7" borderId="28" xfId="0" applyFont="1" applyFill="1" applyBorder="1" applyAlignment="1" applyProtection="1">
      <alignment horizontal="center" vertical="center"/>
      <protection hidden="1"/>
    </xf>
    <xf numFmtId="38" fontId="20" fillId="6" borderId="43" xfId="2" applyFont="1" applyFill="1" applyBorder="1" applyAlignment="1" applyProtection="1">
      <alignment horizontal="center" vertical="center"/>
      <protection hidden="1"/>
    </xf>
    <xf numFmtId="38" fontId="20" fillId="6" borderId="46" xfId="2" applyFont="1" applyFill="1" applyBorder="1" applyAlignment="1" applyProtection="1">
      <alignment horizontal="center" vertical="center"/>
      <protection hidden="1"/>
    </xf>
    <xf numFmtId="9" fontId="20" fillId="6" borderId="43" xfId="1" applyFont="1" applyFill="1" applyBorder="1" applyAlignment="1" applyProtection="1">
      <alignment horizontal="center" vertical="center"/>
      <protection hidden="1"/>
    </xf>
    <xf numFmtId="9" fontId="20" fillId="6" borderId="45" xfId="1" applyFont="1" applyFill="1" applyBorder="1" applyAlignment="1" applyProtection="1">
      <alignment horizontal="center" vertical="center"/>
      <protection hidden="1"/>
    </xf>
    <xf numFmtId="190" fontId="27" fillId="0" borderId="28" xfId="0" applyNumberFormat="1" applyFont="1" applyBorder="1" applyAlignment="1" applyProtection="1">
      <alignment horizontal="center" vertical="center"/>
      <protection locked="0"/>
    </xf>
    <xf numFmtId="0" fontId="0" fillId="0" borderId="0" xfId="0" applyAlignment="1" applyProtection="1">
      <alignment horizontal="center" vertical="center"/>
      <protection hidden="1"/>
    </xf>
    <xf numFmtId="0" fontId="4" fillId="0" borderId="0" xfId="0" applyFont="1" applyProtection="1">
      <alignment vertical="center"/>
      <protection hidden="1"/>
    </xf>
    <xf numFmtId="0" fontId="25" fillId="6" borderId="3" xfId="0" applyFont="1" applyFill="1" applyBorder="1" applyAlignment="1" applyProtection="1">
      <alignment horizontal="center" vertical="center"/>
      <protection hidden="1"/>
    </xf>
    <xf numFmtId="38" fontId="59" fillId="0" borderId="0" xfId="2" applyFont="1" applyBorder="1" applyProtection="1">
      <alignment vertical="center"/>
      <protection hidden="1"/>
    </xf>
    <xf numFmtId="0" fontId="49" fillId="0" borderId="0" xfId="0" applyFont="1" applyAlignment="1" applyProtection="1">
      <alignment vertical="center" wrapText="1"/>
      <protection hidden="1"/>
    </xf>
    <xf numFmtId="0" fontId="69" fillId="0" borderId="0" xfId="0" applyFont="1" applyAlignment="1" applyProtection="1">
      <alignment horizontal="center" vertical="center"/>
      <protection hidden="1"/>
    </xf>
    <xf numFmtId="0" fontId="14" fillId="0" borderId="0" xfId="0" applyFont="1" applyAlignment="1" applyProtection="1">
      <alignment horizontal="left" vertical="center" wrapText="1"/>
      <protection hidden="1"/>
    </xf>
    <xf numFmtId="184" fontId="14" fillId="0" borderId="0" xfId="0" applyNumberFormat="1" applyFont="1" applyAlignment="1" applyProtection="1">
      <alignment horizontal="left" vertical="center" wrapText="1"/>
      <protection hidden="1"/>
    </xf>
    <xf numFmtId="0" fontId="43" fillId="6" borderId="64" xfId="0" applyFont="1" applyFill="1" applyBorder="1" applyAlignment="1" applyProtection="1">
      <alignment horizontal="center" vertical="center"/>
      <protection hidden="1"/>
    </xf>
    <xf numFmtId="0" fontId="43" fillId="6" borderId="12" xfId="0" applyFont="1" applyFill="1" applyBorder="1" applyAlignment="1" applyProtection="1">
      <alignment horizontal="center" vertical="center"/>
      <protection hidden="1"/>
    </xf>
    <xf numFmtId="0" fontId="43" fillId="6" borderId="53" xfId="0" applyFont="1" applyFill="1" applyBorder="1" applyAlignment="1" applyProtection="1">
      <alignment horizontal="center" vertical="center"/>
      <protection hidden="1"/>
    </xf>
    <xf numFmtId="0" fontId="43" fillId="14" borderId="64" xfId="0" applyFont="1" applyFill="1" applyBorder="1" applyAlignment="1" applyProtection="1">
      <alignment horizontal="center" vertical="center"/>
      <protection hidden="1"/>
    </xf>
    <xf numFmtId="0" fontId="43" fillId="14" borderId="12" xfId="0" applyFont="1" applyFill="1" applyBorder="1" applyAlignment="1" applyProtection="1">
      <alignment horizontal="center" vertical="center"/>
      <protection hidden="1"/>
    </xf>
    <xf numFmtId="0" fontId="43" fillId="14" borderId="53" xfId="0" applyFont="1" applyFill="1" applyBorder="1" applyAlignment="1" applyProtection="1">
      <alignment horizontal="center" vertical="center"/>
      <protection hidden="1"/>
    </xf>
    <xf numFmtId="0" fontId="43" fillId="17" borderId="35" xfId="0" applyFont="1" applyFill="1" applyBorder="1" applyAlignment="1" applyProtection="1">
      <alignment horizontal="center" vertical="center"/>
      <protection hidden="1"/>
    </xf>
    <xf numFmtId="0" fontId="43" fillId="17" borderId="16" xfId="0" applyFont="1" applyFill="1" applyBorder="1" applyAlignment="1" applyProtection="1">
      <alignment horizontal="center" vertical="center"/>
      <protection hidden="1"/>
    </xf>
    <xf numFmtId="0" fontId="43" fillId="17" borderId="65" xfId="0" applyFont="1" applyFill="1" applyBorder="1" applyAlignment="1" applyProtection="1">
      <alignment horizontal="center"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51" fillId="0" borderId="0" xfId="0" applyFont="1" applyAlignment="1" applyProtection="1">
      <alignment vertical="center" wrapText="1"/>
      <protection hidden="1"/>
    </xf>
    <xf numFmtId="0" fontId="52" fillId="0" borderId="0" xfId="0" applyFont="1" applyAlignment="1" applyProtection="1">
      <alignment vertical="center" wrapText="1"/>
      <protection hidden="1"/>
    </xf>
    <xf numFmtId="10" fontId="43" fillId="6" borderId="1" xfId="0" applyNumberFormat="1" applyFont="1" applyFill="1" applyBorder="1" applyAlignment="1" applyProtection="1">
      <alignment horizontal="right" vertical="center"/>
      <protection hidden="1"/>
    </xf>
    <xf numFmtId="184" fontId="43" fillId="6" borderId="2" xfId="0" applyNumberFormat="1" applyFont="1" applyFill="1" applyBorder="1" applyProtection="1">
      <alignment vertical="center"/>
      <protection hidden="1"/>
    </xf>
    <xf numFmtId="184" fontId="43" fillId="6" borderId="18" xfId="0" applyNumberFormat="1" applyFont="1" applyFill="1" applyBorder="1" applyProtection="1">
      <alignment vertical="center"/>
      <protection hidden="1"/>
    </xf>
    <xf numFmtId="10" fontId="43" fillId="14" borderId="55" xfId="0" applyNumberFormat="1" applyFont="1" applyFill="1" applyBorder="1" applyAlignment="1" applyProtection="1">
      <alignment horizontal="right" vertical="center"/>
      <protection hidden="1"/>
    </xf>
    <xf numFmtId="184" fontId="43" fillId="14" borderId="9" xfId="0" applyNumberFormat="1" applyFont="1" applyFill="1" applyBorder="1" applyProtection="1">
      <alignment vertical="center"/>
      <protection hidden="1"/>
    </xf>
    <xf numFmtId="184" fontId="43" fillId="14" borderId="11" xfId="0" applyNumberFormat="1" applyFont="1" applyFill="1" applyBorder="1" applyProtection="1">
      <alignment vertical="center"/>
      <protection hidden="1"/>
    </xf>
    <xf numFmtId="10" fontId="43" fillId="17" borderId="39" xfId="0" applyNumberFormat="1" applyFont="1" applyFill="1" applyBorder="1" applyProtection="1">
      <alignment vertical="center"/>
      <protection hidden="1"/>
    </xf>
    <xf numFmtId="184" fontId="43" fillId="17" borderId="9" xfId="0" applyNumberFormat="1" applyFont="1" applyFill="1" applyBorder="1" applyProtection="1">
      <alignment vertical="center"/>
      <protection hidden="1"/>
    </xf>
    <xf numFmtId="184" fontId="43" fillId="17" borderId="75" xfId="0" applyNumberFormat="1" applyFont="1" applyFill="1" applyBorder="1" applyProtection="1">
      <alignment vertical="center"/>
      <protection hidden="1"/>
    </xf>
    <xf numFmtId="10" fontId="43" fillId="6" borderId="6" xfId="0" applyNumberFormat="1" applyFont="1" applyFill="1" applyBorder="1" applyAlignment="1" applyProtection="1">
      <alignment horizontal="center" vertical="center"/>
      <protection hidden="1"/>
    </xf>
    <xf numFmtId="184" fontId="43" fillId="6" borderId="19" xfId="0" applyNumberFormat="1" applyFont="1" applyFill="1" applyBorder="1" applyProtection="1">
      <alignment vertical="center"/>
      <protection hidden="1"/>
    </xf>
    <xf numFmtId="184" fontId="43" fillId="6" borderId="20" xfId="0" applyNumberFormat="1" applyFont="1" applyFill="1" applyBorder="1" applyAlignment="1" applyProtection="1">
      <alignment horizontal="right" vertical="center"/>
      <protection hidden="1"/>
    </xf>
    <xf numFmtId="10" fontId="43" fillId="14" borderId="6" xfId="0" applyNumberFormat="1" applyFont="1" applyFill="1" applyBorder="1" applyAlignment="1" applyProtection="1">
      <alignment horizontal="center" vertical="center"/>
      <protection hidden="1"/>
    </xf>
    <xf numFmtId="184" fontId="43" fillId="14" borderId="19" xfId="0" applyNumberFormat="1" applyFont="1" applyFill="1" applyBorder="1" applyProtection="1">
      <alignment vertical="center"/>
      <protection hidden="1"/>
    </xf>
    <xf numFmtId="184" fontId="43" fillId="14" borderId="20" xfId="0" applyNumberFormat="1" applyFont="1" applyFill="1" applyBorder="1" applyAlignment="1" applyProtection="1">
      <alignment horizontal="right" vertical="center"/>
      <protection hidden="1"/>
    </xf>
    <xf numFmtId="10" fontId="43" fillId="17" borderId="62" xfId="0" applyNumberFormat="1" applyFont="1" applyFill="1" applyBorder="1" applyAlignment="1" applyProtection="1">
      <alignment horizontal="center" vertical="center"/>
      <protection hidden="1"/>
    </xf>
    <xf numFmtId="184" fontId="43" fillId="17" borderId="7" xfId="0" applyNumberFormat="1" applyFont="1" applyFill="1" applyBorder="1" applyProtection="1">
      <alignment vertical="center"/>
      <protection hidden="1"/>
    </xf>
    <xf numFmtId="184" fontId="43" fillId="17" borderId="20" xfId="0" applyNumberFormat="1" applyFont="1" applyFill="1" applyBorder="1" applyAlignment="1" applyProtection="1">
      <alignment horizontal="right" vertical="center"/>
      <protection hidden="1"/>
    </xf>
    <xf numFmtId="0" fontId="0" fillId="7" borderId="12" xfId="0" applyFill="1" applyBorder="1" applyAlignment="1" applyProtection="1">
      <alignment horizontal="center" vertical="center"/>
      <protection hidden="1"/>
    </xf>
    <xf numFmtId="38" fontId="14" fillId="6" borderId="35" xfId="2" applyFont="1" applyFill="1" applyBorder="1" applyProtection="1">
      <alignment vertical="center"/>
      <protection hidden="1"/>
    </xf>
    <xf numFmtId="185" fontId="14" fillId="14" borderId="12" xfId="0" applyNumberFormat="1" applyFont="1" applyFill="1" applyBorder="1" applyAlignment="1" applyProtection="1">
      <alignment vertical="center" shrinkToFit="1"/>
      <protection hidden="1"/>
    </xf>
    <xf numFmtId="187" fontId="13" fillId="14" borderId="12" xfId="0" applyNumberFormat="1" applyFont="1" applyFill="1" applyBorder="1" applyAlignment="1" applyProtection="1">
      <alignment vertical="center" shrinkToFit="1"/>
      <protection hidden="1"/>
    </xf>
    <xf numFmtId="184" fontId="14" fillId="14" borderId="12" xfId="2" applyNumberFormat="1" applyFont="1" applyFill="1" applyBorder="1" applyAlignment="1" applyProtection="1">
      <alignment vertical="center" shrinkToFit="1"/>
      <protection hidden="1"/>
    </xf>
    <xf numFmtId="186" fontId="13" fillId="14" borderId="12" xfId="2" applyNumberFormat="1" applyFont="1" applyFill="1" applyBorder="1" applyAlignment="1" applyProtection="1">
      <alignment vertical="center" shrinkToFit="1"/>
      <protection hidden="1"/>
    </xf>
    <xf numFmtId="186" fontId="14" fillId="6" borderId="12" xfId="0" applyNumberFormat="1" applyFont="1" applyFill="1" applyBorder="1" applyAlignment="1" applyProtection="1">
      <alignment vertical="center" shrinkToFit="1"/>
      <protection hidden="1"/>
    </xf>
    <xf numFmtId="184" fontId="14" fillId="6" borderId="12" xfId="0" applyNumberFormat="1" applyFont="1" applyFill="1" applyBorder="1" applyAlignment="1" applyProtection="1">
      <alignment vertical="center" shrinkToFit="1"/>
      <protection hidden="1"/>
    </xf>
    <xf numFmtId="186" fontId="14" fillId="24" borderId="12" xfId="0" applyNumberFormat="1" applyFont="1" applyFill="1" applyBorder="1" applyAlignment="1" applyProtection="1">
      <alignment vertical="center" shrinkToFit="1"/>
      <protection hidden="1"/>
    </xf>
    <xf numFmtId="184" fontId="14" fillId="24" borderId="12" xfId="0" applyNumberFormat="1" applyFont="1" applyFill="1" applyBorder="1" applyAlignment="1" applyProtection="1">
      <alignment vertical="center" shrinkToFit="1"/>
      <protection hidden="1"/>
    </xf>
    <xf numFmtId="186" fontId="14" fillId="17" borderId="12" xfId="0" applyNumberFormat="1" applyFont="1" applyFill="1" applyBorder="1" applyAlignment="1" applyProtection="1">
      <alignment vertical="center" shrinkToFit="1"/>
      <protection hidden="1"/>
    </xf>
    <xf numFmtId="184" fontId="14" fillId="17" borderId="12" xfId="0" applyNumberFormat="1" applyFont="1" applyFill="1" applyBorder="1" applyAlignment="1" applyProtection="1">
      <alignment vertical="center" shrinkToFit="1"/>
      <protection hidden="1"/>
    </xf>
    <xf numFmtId="184" fontId="43" fillId="8" borderId="12" xfId="0" applyNumberFormat="1" applyFont="1" applyFill="1" applyBorder="1" applyAlignment="1" applyProtection="1">
      <alignment vertical="center" shrinkToFit="1"/>
      <protection hidden="1"/>
    </xf>
    <xf numFmtId="0" fontId="0" fillId="7" borderId="2" xfId="0" applyFill="1" applyBorder="1" applyAlignment="1" applyProtection="1">
      <alignment horizontal="center" vertical="center"/>
      <protection hidden="1"/>
    </xf>
    <xf numFmtId="38" fontId="14" fillId="6" borderId="5" xfId="2" applyFont="1" applyFill="1" applyBorder="1" applyProtection="1">
      <alignment vertical="center"/>
      <protection hidden="1"/>
    </xf>
    <xf numFmtId="185" fontId="14" fillId="14" borderId="2" xfId="0" applyNumberFormat="1" applyFont="1" applyFill="1" applyBorder="1" applyAlignment="1" applyProtection="1">
      <alignment vertical="center" shrinkToFit="1"/>
      <protection hidden="1"/>
    </xf>
    <xf numFmtId="187" fontId="13" fillId="14" borderId="2" xfId="0" applyNumberFormat="1" applyFont="1" applyFill="1" applyBorder="1" applyAlignment="1" applyProtection="1">
      <alignment vertical="center" shrinkToFit="1"/>
      <protection hidden="1"/>
    </xf>
    <xf numFmtId="184" fontId="14" fillId="14" borderId="2" xfId="2" applyNumberFormat="1" applyFont="1" applyFill="1" applyBorder="1" applyAlignment="1" applyProtection="1">
      <alignment vertical="center" shrinkToFit="1"/>
      <protection hidden="1"/>
    </xf>
    <xf numFmtId="186" fontId="13" fillId="14" borderId="2" xfId="2" applyNumberFormat="1" applyFont="1" applyFill="1" applyBorder="1" applyAlignment="1" applyProtection="1">
      <alignment vertical="center" shrinkToFit="1"/>
      <protection hidden="1"/>
    </xf>
    <xf numFmtId="184" fontId="14" fillId="6" borderId="2" xfId="0" applyNumberFormat="1" applyFont="1" applyFill="1" applyBorder="1" applyAlignment="1" applyProtection="1">
      <alignment vertical="center" shrinkToFit="1"/>
      <protection hidden="1"/>
    </xf>
    <xf numFmtId="186" fontId="14" fillId="24" borderId="2" xfId="0" applyNumberFormat="1" applyFont="1" applyFill="1" applyBorder="1" applyAlignment="1" applyProtection="1">
      <alignment vertical="center" shrinkToFit="1"/>
      <protection hidden="1"/>
    </xf>
    <xf numFmtId="184" fontId="14" fillId="24" borderId="2" xfId="0" applyNumberFormat="1" applyFont="1" applyFill="1" applyBorder="1" applyAlignment="1" applyProtection="1">
      <alignment vertical="center" shrinkToFit="1"/>
      <protection hidden="1"/>
    </xf>
    <xf numFmtId="186" fontId="14" fillId="17" borderId="2" xfId="0" applyNumberFormat="1" applyFont="1" applyFill="1" applyBorder="1" applyAlignment="1" applyProtection="1">
      <alignment vertical="center" shrinkToFit="1"/>
      <protection hidden="1"/>
    </xf>
    <xf numFmtId="184" fontId="14" fillId="17" borderId="2" xfId="0" applyNumberFormat="1" applyFont="1" applyFill="1" applyBorder="1" applyAlignment="1" applyProtection="1">
      <alignment vertical="center" shrinkToFit="1"/>
      <protection hidden="1"/>
    </xf>
    <xf numFmtId="184" fontId="43" fillId="8" borderId="2" xfId="0" applyNumberFormat="1" applyFont="1" applyFill="1" applyBorder="1" applyAlignment="1" applyProtection="1">
      <alignment vertical="center" shrinkToFit="1"/>
      <protection hidden="1"/>
    </xf>
    <xf numFmtId="0" fontId="71" fillId="0" borderId="59" xfId="0" applyFont="1" applyBorder="1" applyAlignment="1" applyProtection="1">
      <alignment horizontal="center" vertical="center"/>
      <protection hidden="1"/>
    </xf>
    <xf numFmtId="0" fontId="34" fillId="0" borderId="59"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38" fontId="35" fillId="0" borderId="59" xfId="2" applyFont="1" applyFill="1" applyBorder="1" applyAlignment="1" applyProtection="1">
      <alignment horizontal="center" vertical="center"/>
      <protection hidden="1"/>
    </xf>
    <xf numFmtId="38" fontId="35" fillId="0" borderId="59" xfId="2" applyFont="1" applyFill="1" applyBorder="1" applyAlignment="1" applyProtection="1">
      <alignment horizontal="center"/>
      <protection hidden="1"/>
    </xf>
    <xf numFmtId="38" fontId="35" fillId="0" borderId="59" xfId="2" applyFont="1" applyFill="1" applyBorder="1" applyAlignment="1" applyProtection="1">
      <alignment horizontal="right" vertical="center"/>
      <protection hidden="1"/>
    </xf>
    <xf numFmtId="38" fontId="35" fillId="0" borderId="81" xfId="2" applyFont="1" applyFill="1" applyBorder="1" applyAlignment="1" applyProtection="1">
      <alignment horizontal="center" vertical="center"/>
      <protection hidden="1"/>
    </xf>
    <xf numFmtId="0" fontId="36" fillId="0" borderId="0" xfId="0" applyFont="1" applyAlignment="1" applyProtection="1">
      <alignment horizontal="left" vertical="center"/>
      <protection hidden="1"/>
    </xf>
    <xf numFmtId="0" fontId="77" fillId="7" borderId="2" xfId="0" applyFont="1" applyFill="1" applyBorder="1" applyAlignment="1" applyProtection="1">
      <alignment horizontal="center" vertical="center" wrapText="1"/>
      <protection locked="0"/>
    </xf>
    <xf numFmtId="38" fontId="77" fillId="0" borderId="59" xfId="2" applyFont="1" applyFill="1" applyBorder="1" applyAlignment="1" applyProtection="1">
      <alignment horizontal="right" vertical="center"/>
      <protection hidden="1"/>
    </xf>
    <xf numFmtId="38" fontId="113" fillId="0" borderId="60" xfId="2" applyFont="1" applyFill="1" applyBorder="1" applyAlignment="1" applyProtection="1">
      <alignment horizontal="right" vertical="center"/>
      <protection locked="0"/>
    </xf>
    <xf numFmtId="0" fontId="20" fillId="7" borderId="50" xfId="0" applyFont="1" applyFill="1" applyBorder="1" applyAlignment="1" applyProtection="1">
      <alignment horizontal="center" vertical="center"/>
      <protection hidden="1"/>
    </xf>
    <xf numFmtId="38" fontId="38" fillId="6" borderId="68" xfId="2" applyFont="1" applyFill="1" applyBorder="1" applyAlignment="1" applyProtection="1">
      <alignment horizontal="center" vertical="center"/>
      <protection hidden="1"/>
    </xf>
    <xf numFmtId="0" fontId="20" fillId="6" borderId="2" xfId="0" applyFont="1" applyFill="1" applyBorder="1" applyAlignment="1" applyProtection="1">
      <alignment horizontal="center" vertical="center"/>
      <protection hidden="1"/>
    </xf>
    <xf numFmtId="0" fontId="77" fillId="0" borderId="0" xfId="0" applyFont="1" applyAlignment="1" applyProtection="1">
      <alignment horizontal="center" vertical="center"/>
      <protection locked="0"/>
    </xf>
    <xf numFmtId="38" fontId="77" fillId="0" borderId="60" xfId="2" applyFont="1" applyFill="1" applyBorder="1" applyAlignment="1" applyProtection="1">
      <alignment horizontal="right" vertical="center"/>
      <protection hidden="1"/>
    </xf>
    <xf numFmtId="38" fontId="77" fillId="8" borderId="85" xfId="2" applyFont="1" applyFill="1" applyBorder="1" applyAlignment="1" applyProtection="1">
      <alignment horizontal="right" vertical="center"/>
      <protection hidden="1"/>
    </xf>
    <xf numFmtId="38" fontId="77" fillId="8" borderId="86" xfId="2" applyFont="1" applyFill="1" applyBorder="1" applyAlignment="1" applyProtection="1">
      <alignment horizontal="right" vertical="center"/>
      <protection hidden="1"/>
    </xf>
    <xf numFmtId="38" fontId="35" fillId="0" borderId="87" xfId="2" applyFont="1" applyFill="1" applyBorder="1" applyAlignment="1" applyProtection="1">
      <alignment horizontal="center" vertical="center"/>
      <protection hidden="1"/>
    </xf>
    <xf numFmtId="38" fontId="35" fillId="0" borderId="88" xfId="2" applyFont="1" applyFill="1" applyBorder="1" applyAlignment="1" applyProtection="1">
      <alignment horizontal="center" vertical="center"/>
      <protection hidden="1"/>
    </xf>
    <xf numFmtId="38" fontId="35" fillId="0" borderId="89" xfId="2" applyFont="1" applyFill="1" applyBorder="1" applyAlignment="1" applyProtection="1">
      <alignment horizontal="center" vertical="center"/>
      <protection locked="0"/>
    </xf>
    <xf numFmtId="38" fontId="35" fillId="0" borderId="90" xfId="2" applyFont="1" applyFill="1" applyBorder="1" applyAlignment="1" applyProtection="1">
      <alignment horizontal="center" vertical="center"/>
      <protection hidden="1"/>
    </xf>
    <xf numFmtId="38" fontId="35" fillId="0" borderId="91" xfId="2" applyFont="1" applyFill="1" applyBorder="1" applyAlignment="1" applyProtection="1">
      <alignment horizontal="center" vertical="center"/>
      <protection locked="0"/>
    </xf>
    <xf numFmtId="38" fontId="35" fillId="0" borderId="92" xfId="2" applyFont="1" applyFill="1" applyBorder="1" applyAlignment="1" applyProtection="1">
      <alignment horizontal="center" vertical="center"/>
      <protection hidden="1"/>
    </xf>
    <xf numFmtId="38" fontId="35" fillId="0" borderId="91" xfId="2" applyFont="1" applyFill="1" applyBorder="1" applyAlignment="1" applyProtection="1">
      <alignment horizontal="center" vertical="center"/>
      <protection hidden="1"/>
    </xf>
    <xf numFmtId="38" fontId="35" fillId="0" borderId="93" xfId="2" applyFont="1" applyFill="1" applyBorder="1" applyAlignment="1" applyProtection="1">
      <alignment horizontal="center" vertical="center"/>
      <protection hidden="1"/>
    </xf>
    <xf numFmtId="38" fontId="35" fillId="0" borderId="94" xfId="2" applyFont="1" applyFill="1" applyBorder="1" applyAlignment="1" applyProtection="1">
      <alignment horizontal="center" vertical="center"/>
      <protection hidden="1"/>
    </xf>
    <xf numFmtId="38" fontId="35" fillId="0" borderId="95" xfId="2" applyFont="1" applyFill="1" applyBorder="1" applyAlignment="1" applyProtection="1">
      <alignment horizontal="center" vertical="center"/>
      <protection hidden="1"/>
    </xf>
    <xf numFmtId="38" fontId="35" fillId="0" borderId="96" xfId="2" applyFont="1" applyFill="1" applyBorder="1" applyAlignment="1" applyProtection="1">
      <alignment horizontal="center" vertical="center"/>
      <protection hidden="1"/>
    </xf>
    <xf numFmtId="38" fontId="35" fillId="0" borderId="97" xfId="2" applyFont="1" applyFill="1" applyBorder="1" applyAlignment="1" applyProtection="1">
      <alignment horizontal="center" vertical="center"/>
      <protection hidden="1"/>
    </xf>
    <xf numFmtId="38" fontId="35" fillId="0" borderId="98" xfId="2" applyFont="1" applyFill="1" applyBorder="1" applyAlignment="1" applyProtection="1">
      <alignment horizontal="center" vertical="center"/>
      <protection hidden="1"/>
    </xf>
    <xf numFmtId="38" fontId="35" fillId="0" borderId="99" xfId="2" applyFont="1" applyFill="1" applyBorder="1" applyAlignment="1" applyProtection="1">
      <alignment horizontal="center" vertical="center"/>
      <protection hidden="1"/>
    </xf>
    <xf numFmtId="182" fontId="25" fillId="6" borderId="12" xfId="0" applyNumberFormat="1" applyFont="1" applyFill="1" applyBorder="1" applyProtection="1">
      <alignment vertical="center"/>
      <protection hidden="1"/>
    </xf>
    <xf numFmtId="38" fontId="25" fillId="18" borderId="64" xfId="2" applyFont="1" applyFill="1" applyBorder="1" applyProtection="1">
      <alignment vertical="center"/>
      <protection hidden="1"/>
    </xf>
    <xf numFmtId="0" fontId="29" fillId="17" borderId="28" xfId="0" applyFont="1" applyFill="1" applyBorder="1" applyAlignment="1" applyProtection="1">
      <alignment horizontal="center" vertical="center" wrapText="1"/>
      <protection hidden="1"/>
    </xf>
    <xf numFmtId="38" fontId="25" fillId="6" borderId="34" xfId="0" applyNumberFormat="1" applyFont="1" applyFill="1" applyBorder="1" applyProtection="1">
      <alignment vertical="center"/>
      <protection hidden="1"/>
    </xf>
    <xf numFmtId="0" fontId="12" fillId="8" borderId="28" xfId="0" applyFont="1" applyFill="1" applyBorder="1" applyAlignment="1" applyProtection="1">
      <alignment horizontal="center" vertical="center" wrapText="1"/>
      <protection hidden="1"/>
    </xf>
    <xf numFmtId="38" fontId="25" fillId="6" borderId="35" xfId="0" applyNumberFormat="1" applyFont="1" applyFill="1" applyBorder="1" applyProtection="1">
      <alignment vertical="center"/>
      <protection hidden="1"/>
    </xf>
    <xf numFmtId="38" fontId="25" fillId="6" borderId="64" xfId="2" applyFont="1" applyFill="1" applyBorder="1" applyProtection="1">
      <alignment vertical="center"/>
      <protection hidden="1"/>
    </xf>
    <xf numFmtId="0" fontId="29" fillId="10" borderId="15" xfId="0" applyFont="1" applyFill="1" applyBorder="1" applyAlignment="1" applyProtection="1">
      <alignment horizontal="center" vertical="center" wrapText="1"/>
      <protection hidden="1"/>
    </xf>
    <xf numFmtId="0" fontId="44" fillId="0" borderId="0" xfId="0" applyFont="1" applyAlignment="1" applyProtection="1">
      <alignment horizontal="left" vertical="center"/>
      <protection hidden="1"/>
    </xf>
    <xf numFmtId="0" fontId="29" fillId="8" borderId="25" xfId="0" applyFont="1" applyFill="1" applyBorder="1" applyAlignment="1" applyProtection="1">
      <alignment horizontal="center" vertical="center" wrapText="1"/>
      <protection hidden="1"/>
    </xf>
    <xf numFmtId="0" fontId="29" fillId="8" borderId="67" xfId="0" applyFont="1" applyFill="1" applyBorder="1" applyAlignment="1" applyProtection="1">
      <alignment horizontal="center" vertical="center" wrapText="1"/>
      <protection hidden="1"/>
    </xf>
    <xf numFmtId="38" fontId="5" fillId="0" borderId="2" xfId="2" applyFont="1" applyBorder="1" applyAlignment="1">
      <alignment horizontal="center" vertical="center"/>
    </xf>
    <xf numFmtId="38" fontId="5" fillId="0" borderId="2" xfId="2" applyFont="1" applyBorder="1" applyAlignment="1" applyProtection="1">
      <alignment horizontal="center" vertical="center"/>
      <protection hidden="1"/>
    </xf>
    <xf numFmtId="0" fontId="29" fillId="0" borderId="2" xfId="0" applyFont="1" applyBorder="1" applyAlignment="1">
      <alignment horizontal="center" vertical="center"/>
    </xf>
    <xf numFmtId="0" fontId="29" fillId="15" borderId="2" xfId="0" applyFont="1" applyFill="1" applyBorder="1" applyAlignment="1">
      <alignment horizontal="center" vertical="center"/>
    </xf>
    <xf numFmtId="0" fontId="29" fillId="13" borderId="2" xfId="0" applyFont="1" applyFill="1" applyBorder="1" applyAlignment="1">
      <alignment horizontal="center" vertical="center"/>
    </xf>
    <xf numFmtId="0" fontId="29" fillId="14" borderId="2" xfId="0" applyFont="1" applyFill="1" applyBorder="1" applyProtection="1">
      <alignment vertical="center"/>
      <protection hidden="1"/>
    </xf>
    <xf numFmtId="0" fontId="29" fillId="8" borderId="2" xfId="0" applyFont="1" applyFill="1" applyBorder="1" applyAlignment="1">
      <alignment horizontal="center" vertical="center"/>
    </xf>
    <xf numFmtId="0" fontId="40" fillId="0" borderId="0" xfId="0" applyFont="1">
      <alignment vertical="center"/>
    </xf>
    <xf numFmtId="0" fontId="23" fillId="0" borderId="29" xfId="0" applyFont="1" applyBorder="1" applyAlignment="1" applyProtection="1">
      <alignment horizontal="center" vertical="center"/>
      <protection hidden="1"/>
    </xf>
    <xf numFmtId="38" fontId="20" fillId="0" borderId="0" xfId="2" applyFont="1" applyFill="1" applyBorder="1" applyAlignment="1" applyProtection="1">
      <alignment horizontal="center" vertical="center"/>
      <protection hidden="1"/>
    </xf>
    <xf numFmtId="0" fontId="43" fillId="0" borderId="0" xfId="0" applyFont="1" applyAlignment="1" applyProtection="1">
      <alignment vertical="center" wrapText="1"/>
      <protection hidden="1"/>
    </xf>
    <xf numFmtId="38" fontId="39" fillId="6" borderId="2" xfId="2" applyFont="1" applyFill="1" applyBorder="1" applyAlignment="1" applyProtection="1">
      <alignment horizontal="center" vertical="center"/>
      <protection hidden="1"/>
    </xf>
    <xf numFmtId="0" fontId="114" fillId="16" borderId="72" xfId="0" applyFont="1" applyFill="1" applyBorder="1" applyAlignment="1" applyProtection="1">
      <alignment horizontal="center" vertical="center"/>
      <protection hidden="1"/>
    </xf>
    <xf numFmtId="0" fontId="8" fillId="0" borderId="0" xfId="0" applyFont="1" applyAlignment="1" applyProtection="1">
      <alignment vertical="center" wrapText="1"/>
      <protection hidden="1"/>
    </xf>
    <xf numFmtId="0" fontId="115" fillId="14" borderId="2" xfId="0" applyFont="1" applyFill="1" applyBorder="1" applyAlignment="1" applyProtection="1">
      <alignment horizontal="center" vertical="center"/>
      <protection hidden="1"/>
    </xf>
    <xf numFmtId="38" fontId="115" fillId="0" borderId="1" xfId="2" applyFont="1" applyBorder="1" applyAlignment="1" applyProtection="1">
      <alignment horizontal="center" vertical="center"/>
      <protection hidden="1"/>
    </xf>
    <xf numFmtId="0" fontId="114" fillId="16" borderId="76" xfId="0" applyFont="1" applyFill="1" applyBorder="1" applyAlignment="1" applyProtection="1">
      <alignment horizontal="center" vertical="center"/>
      <protection hidden="1"/>
    </xf>
    <xf numFmtId="0" fontId="5" fillId="0" borderId="12" xfId="0" applyFont="1" applyBorder="1" applyAlignment="1" applyProtection="1">
      <alignment horizontal="center" vertical="center"/>
      <protection hidden="1"/>
    </xf>
    <xf numFmtId="0" fontId="12" fillId="0" borderId="12"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19" fillId="0" borderId="12"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3" fillId="0" borderId="12" xfId="0" applyFont="1" applyBorder="1" applyAlignment="1" applyProtection="1">
      <alignment horizontal="center" vertical="center" wrapText="1"/>
      <protection hidden="1"/>
    </xf>
    <xf numFmtId="0" fontId="43" fillId="0" borderId="34"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protection hidden="1"/>
    </xf>
    <xf numFmtId="0" fontId="43" fillId="0" borderId="2" xfId="0" applyFont="1" applyBorder="1" applyAlignment="1" applyProtection="1">
      <alignment horizontal="center" vertical="center" wrapText="1"/>
      <protection hidden="1"/>
    </xf>
    <xf numFmtId="0" fontId="64" fillId="0" borderId="0" xfId="0" applyFont="1" applyAlignment="1" applyProtection="1">
      <alignment horizontal="center" vertical="center"/>
      <protection hidden="1"/>
    </xf>
    <xf numFmtId="0" fontId="116" fillId="0" borderId="0" xfId="0" applyFont="1" applyProtection="1">
      <alignment vertical="center"/>
      <protection hidden="1"/>
    </xf>
    <xf numFmtId="0" fontId="116" fillId="0" borderId="0" xfId="0" applyFont="1" applyAlignment="1" applyProtection="1">
      <alignment vertical="center" wrapText="1"/>
      <protection hidden="1"/>
    </xf>
    <xf numFmtId="0" fontId="60" fillId="0" borderId="0" xfId="0" applyFont="1" applyAlignment="1" applyProtection="1">
      <alignment vertical="center" wrapText="1"/>
      <protection hidden="1"/>
    </xf>
    <xf numFmtId="38" fontId="5" fillId="0" borderId="0" xfId="2" applyFont="1" applyFill="1" applyBorder="1" applyAlignment="1" applyProtection="1">
      <alignment horizontal="center" vertical="center"/>
      <protection hidden="1"/>
    </xf>
    <xf numFmtId="0" fontId="29" fillId="0" borderId="0" xfId="0" applyFont="1" applyAlignment="1" applyProtection="1">
      <alignment horizontal="center" vertical="center"/>
      <protection hidden="1"/>
    </xf>
    <xf numFmtId="38" fontId="115" fillId="0" borderId="15" xfId="2" applyFont="1" applyBorder="1" applyAlignment="1" applyProtection="1">
      <alignment horizontal="center" vertical="center"/>
      <protection hidden="1"/>
    </xf>
    <xf numFmtId="0" fontId="115" fillId="0" borderId="16" xfId="0" applyFont="1" applyBorder="1" applyAlignment="1" applyProtection="1">
      <alignment horizontal="center" vertical="center"/>
      <protection hidden="1"/>
    </xf>
    <xf numFmtId="0" fontId="115" fillId="15" borderId="2" xfId="0" applyFont="1" applyFill="1" applyBorder="1" applyAlignment="1" applyProtection="1">
      <alignment horizontal="center" vertical="center"/>
      <protection hidden="1"/>
    </xf>
    <xf numFmtId="0" fontId="115" fillId="13" borderId="2" xfId="0" applyFont="1" applyFill="1" applyBorder="1" applyAlignment="1" applyProtection="1">
      <alignment horizontal="center" vertical="center"/>
      <protection hidden="1"/>
    </xf>
    <xf numFmtId="0" fontId="117" fillId="20" borderId="3" xfId="0" applyFont="1" applyFill="1" applyBorder="1" applyAlignment="1" applyProtection="1">
      <alignment horizontal="center" vertical="center" wrapText="1"/>
      <protection hidden="1"/>
    </xf>
    <xf numFmtId="0" fontId="117" fillId="0" borderId="28" xfId="0" applyFont="1" applyBorder="1" applyAlignment="1" applyProtection="1">
      <alignment horizontal="left" vertical="center" wrapText="1"/>
      <protection hidden="1"/>
    </xf>
    <xf numFmtId="0" fontId="117" fillId="0" borderId="108" xfId="0" applyFont="1" applyBorder="1" applyAlignment="1" applyProtection="1">
      <alignment horizontal="left" vertical="center" wrapText="1"/>
      <protection hidden="1"/>
    </xf>
    <xf numFmtId="0" fontId="108" fillId="0" borderId="0" xfId="0" applyFont="1" applyProtection="1">
      <alignment vertical="center"/>
      <protection hidden="1"/>
    </xf>
    <xf numFmtId="0" fontId="20" fillId="0" borderId="2" xfId="0" applyFont="1" applyBorder="1" applyAlignment="1" applyProtection="1">
      <alignment horizontal="center" vertical="center"/>
      <protection hidden="1"/>
    </xf>
    <xf numFmtId="38" fontId="25" fillId="0" borderId="34" xfId="0" applyNumberFormat="1" applyFont="1" applyBorder="1" applyProtection="1">
      <alignment vertical="center"/>
      <protection hidden="1"/>
    </xf>
    <xf numFmtId="38" fontId="25" fillId="0" borderId="64" xfId="2" applyFont="1" applyFill="1" applyBorder="1" applyProtection="1">
      <alignment vertical="center"/>
      <protection hidden="1"/>
    </xf>
    <xf numFmtId="38" fontId="25" fillId="0" borderId="3" xfId="0" applyNumberFormat="1" applyFont="1" applyBorder="1" applyProtection="1">
      <alignment vertical="center"/>
      <protection hidden="1"/>
    </xf>
    <xf numFmtId="38" fontId="25" fillId="0" borderId="1" xfId="2" applyFont="1" applyFill="1" applyBorder="1" applyProtection="1">
      <alignment vertical="center"/>
      <protection hidden="1"/>
    </xf>
    <xf numFmtId="38" fontId="25" fillId="0" borderId="6" xfId="2" applyFont="1" applyFill="1" applyBorder="1" applyProtection="1">
      <alignment vertical="center"/>
      <protection hidden="1"/>
    </xf>
    <xf numFmtId="0" fontId="39" fillId="0" borderId="2" xfId="0" applyFont="1" applyBorder="1" applyAlignment="1" applyProtection="1">
      <alignment horizontal="center" vertical="center"/>
      <protection hidden="1"/>
    </xf>
    <xf numFmtId="38" fontId="39" fillId="0" borderId="3" xfId="2" applyFont="1" applyFill="1" applyBorder="1" applyAlignment="1" applyProtection="1">
      <alignment vertical="center"/>
      <protection hidden="1"/>
    </xf>
    <xf numFmtId="38" fontId="39" fillId="0" borderId="5" xfId="2" applyFont="1" applyFill="1" applyBorder="1" applyAlignment="1" applyProtection="1">
      <alignment horizontal="left" vertical="center"/>
      <protection hidden="1"/>
    </xf>
    <xf numFmtId="0" fontId="39" fillId="0" borderId="3" xfId="0" applyFont="1" applyBorder="1" applyProtection="1">
      <alignment vertical="center"/>
      <protection hidden="1"/>
    </xf>
    <xf numFmtId="38" fontId="5" fillId="0" borderId="3" xfId="2" applyFont="1" applyFill="1" applyBorder="1" applyProtection="1">
      <alignment vertical="center"/>
      <protection hidden="1"/>
    </xf>
    <xf numFmtId="0" fontId="46" fillId="0" borderId="0" xfId="0" applyFont="1" applyAlignment="1" applyProtection="1">
      <alignment horizontal="center" vertical="center"/>
      <protection hidden="1"/>
    </xf>
    <xf numFmtId="190" fontId="47" fillId="0" borderId="2" xfId="0" applyNumberFormat="1" applyFont="1" applyBorder="1" applyAlignment="1" applyProtection="1">
      <alignment horizontal="center" vertical="center"/>
      <protection hidden="1"/>
    </xf>
    <xf numFmtId="0" fontId="64" fillId="0" borderId="0" xfId="0" applyFont="1" applyProtection="1">
      <alignment vertical="center"/>
      <protection locked="0"/>
    </xf>
    <xf numFmtId="0" fontId="47" fillId="6" borderId="28" xfId="0" applyFont="1" applyFill="1" applyBorder="1" applyAlignment="1" applyProtection="1">
      <alignment horizontal="center" vertical="center"/>
      <protection hidden="1"/>
    </xf>
    <xf numFmtId="38" fontId="38" fillId="0" borderId="2" xfId="2" applyFont="1" applyFill="1" applyBorder="1" applyProtection="1">
      <alignment vertical="center"/>
      <protection hidden="1"/>
    </xf>
    <xf numFmtId="38" fontId="43" fillId="6" borderId="19" xfId="2" applyFont="1" applyFill="1" applyBorder="1" applyAlignment="1" applyProtection="1">
      <alignment horizontal="center" vertical="center"/>
      <protection hidden="1"/>
    </xf>
    <xf numFmtId="0" fontId="106" fillId="16" borderId="0" xfId="0" applyFont="1" applyFill="1" applyAlignment="1" applyProtection="1">
      <alignment horizontal="center" vertical="center"/>
      <protection hidden="1"/>
    </xf>
    <xf numFmtId="38" fontId="43" fillId="6" borderId="53" xfId="2" applyFont="1" applyFill="1" applyBorder="1" applyAlignment="1" applyProtection="1">
      <alignment horizontal="center" vertical="center"/>
      <protection hidden="1"/>
    </xf>
    <xf numFmtId="38" fontId="4" fillId="6" borderId="28" xfId="2" applyFont="1" applyFill="1" applyBorder="1" applyAlignment="1" applyProtection="1">
      <alignment horizontal="center" vertical="center"/>
      <protection hidden="1"/>
    </xf>
    <xf numFmtId="38" fontId="107" fillId="0" borderId="0" xfId="0" applyNumberFormat="1" applyFont="1" applyAlignment="1" applyProtection="1">
      <alignment horizontal="center" vertical="center"/>
      <protection hidden="1"/>
    </xf>
    <xf numFmtId="0" fontId="108" fillId="0" borderId="2" xfId="0" applyFont="1" applyBorder="1" applyProtection="1">
      <alignment vertical="center"/>
      <protection hidden="1"/>
    </xf>
    <xf numFmtId="0" fontId="120" fillId="0" borderId="3" xfId="0" applyFont="1" applyBorder="1" applyAlignment="1" applyProtection="1">
      <alignment horizontal="center" vertical="center"/>
      <protection hidden="1"/>
    </xf>
    <xf numFmtId="0" fontId="105" fillId="0" borderId="9" xfId="0" applyFont="1" applyBorder="1" applyProtection="1">
      <alignment vertical="center"/>
      <protection hidden="1"/>
    </xf>
    <xf numFmtId="0" fontId="120" fillId="0" borderId="28" xfId="0" applyFont="1" applyBorder="1" applyAlignment="1" applyProtection="1">
      <alignment horizontal="center" vertical="center"/>
      <protection hidden="1"/>
    </xf>
    <xf numFmtId="38" fontId="87" fillId="0" borderId="0" xfId="2" applyFont="1" applyFill="1" applyBorder="1" applyAlignment="1" applyProtection="1">
      <alignment horizontal="left" vertical="center"/>
      <protection locked="0"/>
    </xf>
    <xf numFmtId="38" fontId="33" fillId="0" borderId="13" xfId="2" applyFont="1" applyFill="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0" fontId="83" fillId="0" borderId="13" xfId="0" applyFont="1" applyBorder="1" applyAlignment="1" applyProtection="1">
      <alignment horizontal="center" vertical="center"/>
      <protection locked="0"/>
    </xf>
    <xf numFmtId="0" fontId="33" fillId="0" borderId="0" xfId="0" quotePrefix="1" applyFont="1" applyAlignment="1" applyProtection="1">
      <alignment horizontal="right" vertical="center"/>
      <protection locked="0"/>
    </xf>
    <xf numFmtId="0" fontId="16" fillId="0" borderId="0" xfId="0" applyFont="1" applyAlignment="1">
      <alignment horizontal="right" vertical="center"/>
    </xf>
    <xf numFmtId="0" fontId="20" fillId="7" borderId="2" xfId="0" applyFont="1" applyFill="1" applyBorder="1" applyAlignment="1">
      <alignment horizontal="left" vertical="center" wrapText="1"/>
    </xf>
    <xf numFmtId="0" fontId="20" fillId="7" borderId="3" xfId="0" applyFont="1" applyFill="1" applyBorder="1" applyAlignment="1">
      <alignment horizontal="left" vertical="center" wrapText="1"/>
    </xf>
    <xf numFmtId="38" fontId="25" fillId="0" borderId="2" xfId="2" applyFont="1" applyFill="1" applyBorder="1" applyProtection="1">
      <alignment vertical="center"/>
      <protection hidden="1"/>
    </xf>
    <xf numFmtId="0" fontId="113" fillId="30" borderId="47" xfId="0" applyFont="1" applyFill="1" applyBorder="1" applyAlignment="1" applyProtection="1">
      <alignment horizontal="center" vertical="center"/>
      <protection locked="0"/>
    </xf>
    <xf numFmtId="0" fontId="113" fillId="30" borderId="44" xfId="0" applyFont="1" applyFill="1" applyBorder="1" applyAlignment="1" applyProtection="1">
      <alignment horizontal="center" vertical="center"/>
      <protection locked="0"/>
    </xf>
    <xf numFmtId="0" fontId="113" fillId="30" borderId="46" xfId="0" applyFont="1" applyFill="1" applyBorder="1" applyAlignment="1" applyProtection="1">
      <alignment horizontal="center" vertical="center"/>
      <protection locked="0"/>
    </xf>
    <xf numFmtId="0" fontId="113" fillId="31" borderId="43" xfId="0" applyFont="1" applyFill="1" applyBorder="1" applyAlignment="1" applyProtection="1">
      <alignment horizontal="center" vertical="center"/>
      <protection locked="0"/>
    </xf>
    <xf numFmtId="0" fontId="113" fillId="31" borderId="46" xfId="0" applyFont="1" applyFill="1" applyBorder="1" applyAlignment="1" applyProtection="1">
      <alignment horizontal="center" vertical="center"/>
      <protection locked="0"/>
    </xf>
    <xf numFmtId="0" fontId="113" fillId="32" borderId="54" xfId="0" applyFont="1" applyFill="1" applyBorder="1" applyAlignment="1" applyProtection="1">
      <alignment horizontal="center" vertical="center"/>
      <protection locked="0"/>
    </xf>
    <xf numFmtId="38" fontId="77" fillId="32" borderId="81" xfId="2" applyFont="1" applyFill="1" applyBorder="1" applyAlignment="1" applyProtection="1">
      <alignment horizontal="right" vertical="center"/>
      <protection hidden="1"/>
    </xf>
    <xf numFmtId="38" fontId="77" fillId="32" borderId="59" xfId="2" applyFont="1" applyFill="1" applyBorder="1" applyAlignment="1" applyProtection="1">
      <alignment horizontal="right" vertical="center"/>
      <protection hidden="1"/>
    </xf>
    <xf numFmtId="38" fontId="77" fillId="30" borderId="81" xfId="2" applyFont="1" applyFill="1" applyBorder="1" applyAlignment="1" applyProtection="1">
      <alignment horizontal="right" vertical="center"/>
      <protection hidden="1"/>
    </xf>
    <xf numFmtId="38" fontId="77" fillId="30" borderId="59" xfId="2" applyFont="1" applyFill="1" applyBorder="1" applyAlignment="1" applyProtection="1">
      <alignment horizontal="right" vertical="center"/>
      <protection hidden="1"/>
    </xf>
    <xf numFmtId="38" fontId="77" fillId="31" borderId="87" xfId="2" applyFont="1" applyFill="1" applyBorder="1" applyAlignment="1" applyProtection="1">
      <alignment horizontal="right" vertical="center"/>
      <protection hidden="1"/>
    </xf>
    <xf numFmtId="38" fontId="77" fillId="31" borderId="88" xfId="2" applyFont="1" applyFill="1" applyBorder="1" applyAlignment="1" applyProtection="1">
      <alignment horizontal="right" vertical="center"/>
      <protection hidden="1"/>
    </xf>
    <xf numFmtId="0" fontId="58" fillId="0" borderId="0" xfId="0" applyFont="1" applyAlignment="1" applyProtection="1">
      <alignment horizontal="left"/>
      <protection locked="0"/>
    </xf>
    <xf numFmtId="0" fontId="4" fillId="0" borderId="0" xfId="0" applyFont="1" applyAlignment="1" applyProtection="1">
      <alignment horizontal="left" vertical="center"/>
      <protection locked="0"/>
    </xf>
    <xf numFmtId="0" fontId="5" fillId="25" borderId="54" xfId="0" applyFont="1" applyFill="1" applyBorder="1" applyAlignment="1" applyProtection="1">
      <alignment horizontal="center" vertical="center"/>
      <protection hidden="1"/>
    </xf>
    <xf numFmtId="0" fontId="14" fillId="16" borderId="25" xfId="0" applyFont="1" applyFill="1" applyBorder="1" applyAlignment="1" applyProtection="1">
      <alignment horizontal="center" vertical="center"/>
      <protection hidden="1"/>
    </xf>
    <xf numFmtId="0" fontId="14" fillId="16" borderId="34" xfId="0" applyFont="1" applyFill="1" applyBorder="1" applyAlignment="1" applyProtection="1">
      <alignment horizontal="center" vertical="center"/>
      <protection hidden="1"/>
    </xf>
    <xf numFmtId="0" fontId="14" fillId="16" borderId="3" xfId="0" applyFont="1" applyFill="1" applyBorder="1" applyAlignment="1" applyProtection="1">
      <alignment horizontal="center" vertical="center"/>
      <protection hidden="1"/>
    </xf>
    <xf numFmtId="0" fontId="24" fillId="6" borderId="28" xfId="0" applyFont="1" applyFill="1" applyBorder="1" applyAlignment="1" applyProtection="1">
      <alignment horizontal="center" vertical="center" wrapText="1"/>
      <protection hidden="1"/>
    </xf>
    <xf numFmtId="0" fontId="20" fillId="6" borderId="74" xfId="0" applyFont="1" applyFill="1" applyBorder="1" applyAlignment="1" applyProtection="1">
      <alignment horizontal="center" vertical="center" wrapText="1"/>
      <protection hidden="1"/>
    </xf>
    <xf numFmtId="0" fontId="25" fillId="6" borderId="28" xfId="0" applyFont="1" applyFill="1" applyBorder="1" applyAlignment="1" applyProtection="1">
      <alignment horizontal="center" vertical="center" wrapText="1"/>
      <protection hidden="1"/>
    </xf>
    <xf numFmtId="0" fontId="25" fillId="6" borderId="45" xfId="0" applyFont="1" applyFill="1" applyBorder="1" applyAlignment="1" applyProtection="1">
      <alignment horizontal="center" vertical="center" wrapText="1"/>
      <protection hidden="1"/>
    </xf>
    <xf numFmtId="0" fontId="25" fillId="6" borderId="44" xfId="0" applyFont="1" applyFill="1" applyBorder="1" applyAlignment="1" applyProtection="1">
      <alignment horizontal="center" vertical="center" wrapText="1"/>
      <protection hidden="1"/>
    </xf>
    <xf numFmtId="0" fontId="25" fillId="6" borderId="54" xfId="0" applyFont="1" applyFill="1" applyBorder="1" applyAlignment="1" applyProtection="1">
      <alignment horizontal="center" vertical="center" wrapText="1"/>
      <protection hidden="1"/>
    </xf>
    <xf numFmtId="38" fontId="25" fillId="0" borderId="53" xfId="0" applyNumberFormat="1" applyFont="1" applyBorder="1" applyProtection="1">
      <alignment vertical="center"/>
      <protection hidden="1"/>
    </xf>
    <xf numFmtId="38" fontId="25" fillId="0" borderId="49" xfId="0" applyNumberFormat="1" applyFont="1" applyBorder="1" applyProtection="1">
      <alignment vertical="center"/>
      <protection hidden="1"/>
    </xf>
    <xf numFmtId="38" fontId="25" fillId="0" borderId="53" xfId="2" applyFont="1" applyFill="1" applyBorder="1" applyProtection="1">
      <alignment vertical="center"/>
      <protection hidden="1"/>
    </xf>
    <xf numFmtId="38" fontId="25" fillId="0" borderId="56" xfId="0" applyNumberFormat="1" applyFont="1" applyBorder="1" applyProtection="1">
      <alignment vertical="center"/>
      <protection hidden="1"/>
    </xf>
    <xf numFmtId="38" fontId="25" fillId="0" borderId="3" xfId="2" applyFont="1" applyFill="1" applyBorder="1" applyProtection="1">
      <alignment vertical="center"/>
      <protection hidden="1"/>
    </xf>
    <xf numFmtId="38" fontId="25" fillId="0" borderId="18" xfId="2" applyFont="1" applyFill="1" applyBorder="1" applyProtection="1">
      <alignment vertical="center"/>
      <protection hidden="1"/>
    </xf>
    <xf numFmtId="38" fontId="25" fillId="0" borderId="38" xfId="0" applyNumberFormat="1" applyFont="1" applyBorder="1" applyProtection="1">
      <alignment vertical="center"/>
      <protection hidden="1"/>
    </xf>
    <xf numFmtId="38" fontId="25" fillId="0" borderId="19" xfId="2" applyFont="1" applyFill="1" applyBorder="1" applyProtection="1">
      <alignment vertical="center"/>
      <protection hidden="1"/>
    </xf>
    <xf numFmtId="0" fontId="25" fillId="6" borderId="2" xfId="0" applyFont="1" applyFill="1" applyBorder="1" applyAlignment="1" applyProtection="1">
      <alignment horizontal="center" vertical="center"/>
      <protection hidden="1"/>
    </xf>
    <xf numFmtId="38" fontId="5" fillId="6" borderId="2" xfId="2" applyFont="1" applyFill="1" applyBorder="1" applyAlignment="1" applyProtection="1">
      <alignment horizontal="center" vertical="center"/>
      <protection hidden="1"/>
    </xf>
    <xf numFmtId="38" fontId="5" fillId="6" borderId="3" xfId="2" applyFont="1" applyFill="1" applyBorder="1" applyAlignment="1" applyProtection="1">
      <alignment horizontal="center" vertical="center"/>
      <protection hidden="1"/>
    </xf>
    <xf numFmtId="182" fontId="25" fillId="0" borderId="68" xfId="0" applyNumberFormat="1" applyFont="1" applyBorder="1" applyAlignment="1" applyProtection="1">
      <alignment horizontal="center" vertical="center"/>
      <protection hidden="1"/>
    </xf>
    <xf numFmtId="182" fontId="25" fillId="0" borderId="12" xfId="0" applyNumberFormat="1" applyFont="1" applyBorder="1" applyAlignment="1" applyProtection="1">
      <alignment horizontal="center" vertical="center"/>
      <protection hidden="1"/>
    </xf>
    <xf numFmtId="182" fontId="25" fillId="0" borderId="2" xfId="0" applyNumberFormat="1" applyFont="1" applyBorder="1" applyAlignment="1" applyProtection="1">
      <alignment horizontal="center" vertical="center"/>
      <protection hidden="1"/>
    </xf>
    <xf numFmtId="0" fontId="20" fillId="6" borderId="28" xfId="0" applyFont="1" applyFill="1" applyBorder="1" applyAlignment="1" applyProtection="1">
      <alignment horizontal="center" vertical="center" wrapText="1"/>
      <protection hidden="1"/>
    </xf>
    <xf numFmtId="0" fontId="121" fillId="0" borderId="0" xfId="0" applyFont="1" applyAlignment="1" applyProtection="1">
      <protection hidden="1"/>
    </xf>
    <xf numFmtId="38" fontId="39" fillId="7" borderId="2" xfId="2" applyFont="1" applyFill="1" applyBorder="1" applyAlignment="1" applyProtection="1">
      <alignment horizontal="center" vertical="center"/>
      <protection hidden="1"/>
    </xf>
    <xf numFmtId="0" fontId="29" fillId="6" borderId="2" xfId="0" applyFont="1" applyFill="1" applyBorder="1" applyAlignment="1">
      <alignment horizontal="center" vertical="center"/>
    </xf>
    <xf numFmtId="0" fontId="29" fillId="6" borderId="2" xfId="1" applyNumberFormat="1" applyFont="1" applyFill="1" applyBorder="1" applyAlignment="1">
      <alignment horizontal="center" vertical="center"/>
    </xf>
    <xf numFmtId="38" fontId="38" fillId="6" borderId="54" xfId="0" applyNumberFormat="1" applyFont="1" applyFill="1" applyBorder="1" applyAlignment="1" applyProtection="1">
      <alignment horizontal="center" vertical="center"/>
      <protection hidden="1"/>
    </xf>
    <xf numFmtId="38" fontId="25" fillId="6" borderId="110" xfId="0" applyNumberFormat="1" applyFont="1" applyFill="1" applyBorder="1" applyAlignment="1" applyProtection="1">
      <alignment horizontal="center" vertical="center"/>
      <protection hidden="1"/>
    </xf>
    <xf numFmtId="0" fontId="20" fillId="6" borderId="35" xfId="0" applyFont="1" applyFill="1" applyBorder="1" applyAlignment="1" applyProtection="1">
      <alignment horizontal="center" vertical="center"/>
      <protection hidden="1"/>
    </xf>
    <xf numFmtId="0" fontId="20" fillId="6" borderId="5" xfId="0" applyFont="1" applyFill="1" applyBorder="1" applyAlignment="1" applyProtection="1">
      <alignment horizontal="center" vertical="center"/>
      <protection hidden="1"/>
    </xf>
    <xf numFmtId="38" fontId="25" fillId="6" borderId="2" xfId="0" applyNumberFormat="1" applyFont="1" applyFill="1" applyBorder="1" applyAlignment="1" applyProtection="1">
      <alignment horizontal="center" vertical="center"/>
      <protection hidden="1"/>
    </xf>
    <xf numFmtId="38" fontId="25" fillId="6" borderId="25" xfId="0" applyNumberFormat="1" applyFont="1" applyFill="1" applyBorder="1" applyAlignment="1" applyProtection="1">
      <alignment horizontal="center" vertical="center"/>
      <protection hidden="1"/>
    </xf>
    <xf numFmtId="0" fontId="43" fillId="0" borderId="0" xfId="0" applyFont="1" applyAlignment="1" applyProtection="1">
      <alignment horizontal="center" vertical="center"/>
      <protection hidden="1"/>
    </xf>
    <xf numFmtId="40" fontId="38" fillId="6" borderId="12" xfId="0" applyNumberFormat="1" applyFont="1" applyFill="1" applyBorder="1" applyAlignment="1" applyProtection="1">
      <alignment horizontal="center" vertical="center"/>
      <protection hidden="1"/>
    </xf>
    <xf numFmtId="40" fontId="25" fillId="6" borderId="2" xfId="0" applyNumberFormat="1" applyFont="1" applyFill="1" applyBorder="1" applyAlignment="1" applyProtection="1">
      <alignment horizontal="center" vertical="center"/>
      <protection hidden="1"/>
    </xf>
    <xf numFmtId="38" fontId="38" fillId="6" borderId="34" xfId="0" applyNumberFormat="1" applyFont="1" applyFill="1" applyBorder="1" applyAlignment="1" applyProtection="1">
      <alignment horizontal="center" vertical="center"/>
      <protection hidden="1"/>
    </xf>
    <xf numFmtId="0" fontId="24" fillId="6" borderId="54" xfId="0" applyFont="1" applyFill="1" applyBorder="1" applyAlignment="1" applyProtection="1">
      <alignment horizontal="center" vertical="center" wrapText="1"/>
      <protection hidden="1"/>
    </xf>
    <xf numFmtId="0" fontId="12" fillId="0" borderId="34" xfId="0" applyFont="1" applyBorder="1" applyAlignment="1" applyProtection="1">
      <alignment horizontal="center" vertical="center" wrapText="1"/>
      <protection hidden="1"/>
    </xf>
    <xf numFmtId="38" fontId="38" fillId="0" borderId="25" xfId="0" applyNumberFormat="1" applyFont="1" applyBorder="1" applyAlignment="1" applyProtection="1">
      <alignment horizontal="center" vertical="center"/>
      <protection hidden="1"/>
    </xf>
    <xf numFmtId="38" fontId="25" fillId="0" borderId="110" xfId="0" applyNumberFormat="1" applyFont="1" applyBorder="1" applyAlignment="1" applyProtection="1">
      <alignment horizontal="center" vertical="center"/>
      <protection hidden="1"/>
    </xf>
    <xf numFmtId="38" fontId="25" fillId="0" borderId="25" xfId="0" applyNumberFormat="1" applyFont="1" applyBorder="1" applyAlignment="1" applyProtection="1">
      <alignment horizontal="center" vertical="center"/>
      <protection hidden="1"/>
    </xf>
    <xf numFmtId="0" fontId="24" fillId="6" borderId="74" xfId="0" applyFont="1" applyFill="1" applyBorder="1" applyAlignment="1" applyProtection="1">
      <alignment horizontal="center" vertical="center" wrapText="1"/>
      <protection hidden="1"/>
    </xf>
    <xf numFmtId="0" fontId="12" fillId="0" borderId="35"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24" fillId="6" borderId="2" xfId="0" applyFont="1" applyFill="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hidden="1"/>
    </xf>
    <xf numFmtId="38" fontId="38" fillId="0" borderId="2" xfId="0" applyNumberFormat="1" applyFont="1" applyBorder="1" applyAlignment="1" applyProtection="1">
      <alignment horizontal="center" vertical="center"/>
      <protection hidden="1"/>
    </xf>
    <xf numFmtId="38" fontId="25" fillId="0" borderId="2" xfId="0" applyNumberFormat="1" applyFont="1" applyBorder="1" applyAlignment="1" applyProtection="1">
      <alignment horizontal="center" vertical="center"/>
      <protection hidden="1"/>
    </xf>
    <xf numFmtId="40" fontId="38" fillId="0" borderId="2" xfId="0" applyNumberFormat="1" applyFont="1" applyBorder="1" applyAlignment="1" applyProtection="1">
      <alignment horizontal="center" vertical="center"/>
      <protection hidden="1"/>
    </xf>
    <xf numFmtId="40" fontId="25" fillId="0" borderId="2" xfId="0" applyNumberFormat="1" applyFont="1" applyBorder="1" applyAlignment="1" applyProtection="1">
      <alignment horizontal="center" vertical="center"/>
      <protection hidden="1"/>
    </xf>
    <xf numFmtId="0" fontId="43" fillId="0" borderId="108" xfId="0" applyFont="1" applyBorder="1" applyAlignment="1" applyProtection="1">
      <alignment horizontal="center" vertical="center" wrapText="1"/>
      <protection hidden="1"/>
    </xf>
    <xf numFmtId="0" fontId="108" fillId="0" borderId="12" xfId="0" applyFont="1" applyBorder="1" applyProtection="1">
      <alignment vertical="center"/>
      <protection hidden="1"/>
    </xf>
    <xf numFmtId="0" fontId="105" fillId="0" borderId="12" xfId="0" applyFont="1" applyBorder="1" applyProtection="1">
      <alignment vertical="center"/>
      <protection hidden="1"/>
    </xf>
    <xf numFmtId="0" fontId="14" fillId="0" borderId="17" xfId="0" applyFont="1" applyBorder="1" applyProtection="1">
      <alignment vertical="center"/>
      <protection hidden="1"/>
    </xf>
    <xf numFmtId="0" fontId="14" fillId="0" borderId="24" xfId="0" applyFont="1" applyBorder="1" applyProtection="1">
      <alignment vertical="center"/>
      <protection hidden="1"/>
    </xf>
    <xf numFmtId="0" fontId="0" fillId="0" borderId="18" xfId="0" applyBorder="1" applyProtection="1">
      <alignment vertical="center"/>
      <protection hidden="1"/>
    </xf>
    <xf numFmtId="38" fontId="115" fillId="0" borderId="6" xfId="2" applyFont="1" applyBorder="1" applyAlignment="1" applyProtection="1">
      <alignment horizontal="center" vertical="center"/>
      <protection hidden="1"/>
    </xf>
    <xf numFmtId="0" fontId="115" fillId="8" borderId="7" xfId="0" applyFont="1" applyFill="1" applyBorder="1" applyAlignment="1" applyProtection="1">
      <alignment horizontal="center" vertical="center"/>
      <protection hidden="1"/>
    </xf>
    <xf numFmtId="0" fontId="0" fillId="0" borderId="19" xfId="0" applyBorder="1" applyProtection="1">
      <alignment vertical="center"/>
      <protection hidden="1"/>
    </xf>
    <xf numFmtId="0" fontId="35" fillId="0" borderId="60" xfId="0" applyFont="1" applyBorder="1" applyAlignment="1" applyProtection="1">
      <alignment horizontal="center" vertical="center" wrapText="1"/>
      <protection locked="0"/>
    </xf>
    <xf numFmtId="183" fontId="35" fillId="0" borderId="60" xfId="0" applyNumberFormat="1"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183" fontId="35" fillId="0" borderId="59" xfId="0" applyNumberFormat="1"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hidden="1"/>
    </xf>
    <xf numFmtId="183" fontId="35" fillId="0" borderId="59" xfId="0" applyNumberFormat="1" applyFont="1" applyBorder="1" applyAlignment="1" applyProtection="1">
      <alignment horizontal="center" vertical="center" wrapText="1"/>
      <protection hidden="1"/>
    </xf>
    <xf numFmtId="0" fontId="58" fillId="0" borderId="12" xfId="0" applyFont="1" applyBorder="1" applyProtection="1">
      <alignment vertical="center"/>
      <protection locked="0"/>
    </xf>
    <xf numFmtId="0" fontId="58" fillId="0" borderId="12" xfId="0" applyFont="1" applyBorder="1" applyAlignment="1" applyProtection="1">
      <alignment horizontal="right" vertical="center"/>
      <protection locked="0"/>
    </xf>
    <xf numFmtId="0" fontId="58" fillId="0" borderId="53" xfId="0" applyFont="1" applyBorder="1" applyAlignment="1" applyProtection="1">
      <alignment horizontal="right" vertical="center"/>
      <protection locked="0"/>
    </xf>
    <xf numFmtId="0" fontId="47" fillId="6" borderId="12" xfId="0" applyFont="1" applyFill="1" applyBorder="1" applyAlignment="1">
      <alignment horizontal="right" vertical="center"/>
    </xf>
    <xf numFmtId="0" fontId="60" fillId="0" borderId="0" xfId="0" applyFont="1" applyProtection="1">
      <alignment vertical="center"/>
      <protection locked="0"/>
    </xf>
    <xf numFmtId="0" fontId="122" fillId="0" borderId="0" xfId="0" applyFont="1" applyProtection="1">
      <alignment vertical="center"/>
      <protection locked="0"/>
    </xf>
    <xf numFmtId="0" fontId="39" fillId="0" borderId="0" xfId="0" applyFont="1" applyAlignment="1" applyProtection="1">
      <alignment horizontal="center" vertical="center"/>
      <protection hidden="1"/>
    </xf>
    <xf numFmtId="0" fontId="20" fillId="26" borderId="28" xfId="0" applyFont="1" applyFill="1" applyBorder="1" applyAlignment="1" applyProtection="1">
      <alignment horizontal="center" vertical="center"/>
      <protection hidden="1"/>
    </xf>
    <xf numFmtId="182" fontId="25" fillId="26" borderId="28" xfId="0" applyNumberFormat="1" applyFont="1" applyFill="1" applyBorder="1" applyProtection="1">
      <alignment vertical="center"/>
      <protection hidden="1"/>
    </xf>
    <xf numFmtId="0" fontId="25" fillId="0" borderId="0" xfId="0" applyFont="1" applyAlignment="1" applyProtection="1">
      <alignment horizontal="left" vertical="center"/>
      <protection hidden="1"/>
    </xf>
    <xf numFmtId="0" fontId="39" fillId="0" borderId="0" xfId="0" applyFont="1" applyAlignment="1" applyProtection="1">
      <alignment horizontal="left" vertical="center"/>
      <protection hidden="1"/>
    </xf>
    <xf numFmtId="178" fontId="0" fillId="0" borderId="32" xfId="0" applyNumberFormat="1" applyBorder="1">
      <alignment vertical="center"/>
    </xf>
    <xf numFmtId="38" fontId="0" fillId="0" borderId="4" xfId="2" applyFont="1" applyFill="1" applyBorder="1">
      <alignment vertical="center"/>
    </xf>
    <xf numFmtId="0" fontId="0" fillId="0" borderId="32" xfId="0" applyBorder="1">
      <alignment vertical="center"/>
    </xf>
    <xf numFmtId="3" fontId="0" fillId="0" borderId="3" xfId="0" applyNumberFormat="1" applyBorder="1">
      <alignment vertical="center"/>
    </xf>
    <xf numFmtId="0" fontId="0" fillId="0" borderId="4" xfId="0" applyBorder="1">
      <alignment vertical="center"/>
    </xf>
    <xf numFmtId="38" fontId="0" fillId="0" borderId="4" xfId="2" applyFont="1" applyFill="1" applyBorder="1" applyAlignment="1">
      <alignment horizontal="right" vertical="center"/>
    </xf>
    <xf numFmtId="0" fontId="92" fillId="0" borderId="0" xfId="0" applyFont="1" applyAlignment="1">
      <alignment horizontal="center" vertical="center"/>
    </xf>
    <xf numFmtId="0" fontId="0" fillId="15" borderId="0" xfId="0" applyFill="1">
      <alignment vertical="center"/>
    </xf>
    <xf numFmtId="0" fontId="96" fillId="0" borderId="0" xfId="0" applyFont="1">
      <alignment vertical="center"/>
    </xf>
    <xf numFmtId="0" fontId="89" fillId="0" borderId="0" xfId="0" applyFont="1" applyAlignment="1">
      <alignment horizontal="left" vertical="center"/>
    </xf>
    <xf numFmtId="0" fontId="94" fillId="0" borderId="0" xfId="0" applyFont="1">
      <alignment vertical="center"/>
    </xf>
    <xf numFmtId="0" fontId="91" fillId="0" borderId="0" xfId="0" applyFont="1" applyAlignment="1">
      <alignment horizontal="left" vertical="center"/>
    </xf>
    <xf numFmtId="0" fontId="51" fillId="0" borderId="0" xfId="0" applyFont="1">
      <alignment vertical="center"/>
    </xf>
    <xf numFmtId="0" fontId="97" fillId="0" borderId="0" xfId="0" applyFont="1" applyAlignment="1">
      <alignment horizontal="left" vertical="center"/>
    </xf>
    <xf numFmtId="0" fontId="92" fillId="15" borderId="0" xfId="0" applyFont="1" applyFill="1" applyAlignment="1">
      <alignment horizontal="center" vertical="center"/>
    </xf>
    <xf numFmtId="0" fontId="54" fillId="15" borderId="0" xfId="0" applyFont="1" applyFill="1">
      <alignment vertical="center"/>
    </xf>
    <xf numFmtId="0" fontId="89" fillId="9" borderId="0" xfId="0" applyFont="1" applyFill="1" applyAlignment="1">
      <alignment horizontal="left" vertical="center"/>
    </xf>
    <xf numFmtId="0" fontId="0" fillId="9" borderId="0" xfId="0" applyFill="1">
      <alignment vertical="center"/>
    </xf>
    <xf numFmtId="0" fontId="100" fillId="0" borderId="0" xfId="0" applyFont="1" applyAlignment="1">
      <alignment horizontal="center" vertical="center"/>
    </xf>
    <xf numFmtId="0" fontId="98" fillId="28" borderId="0" xfId="0" applyFont="1" applyFill="1">
      <alignment vertical="center"/>
    </xf>
    <xf numFmtId="0" fontId="99" fillId="28" borderId="0" xfId="0" applyFont="1" applyFill="1">
      <alignment vertical="center"/>
    </xf>
    <xf numFmtId="0" fontId="0" fillId="28" borderId="0" xfId="0" applyFill="1">
      <alignment vertical="center"/>
    </xf>
    <xf numFmtId="0" fontId="43" fillId="0" borderId="0" xfId="0" applyFont="1">
      <alignment vertical="center"/>
    </xf>
    <xf numFmtId="0" fontId="98" fillId="0" borderId="0" xfId="0" applyFont="1">
      <alignment vertical="center"/>
    </xf>
    <xf numFmtId="0" fontId="20" fillId="9" borderId="0" xfId="0" applyFont="1" applyFill="1">
      <alignment vertical="center"/>
    </xf>
    <xf numFmtId="0" fontId="20" fillId="0" borderId="0" xfId="0" applyFont="1">
      <alignment vertical="center"/>
    </xf>
    <xf numFmtId="0" fontId="19" fillId="0" borderId="0" xfId="0" applyFont="1">
      <alignment vertical="center"/>
    </xf>
    <xf numFmtId="0" fontId="99" fillId="0" borderId="0" xfId="0" applyFont="1">
      <alignment vertical="center"/>
    </xf>
    <xf numFmtId="38" fontId="87" fillId="0" borderId="0" xfId="2" applyFont="1" applyBorder="1" applyAlignment="1" applyProtection="1">
      <alignment horizontal="left" vertical="center"/>
    </xf>
    <xf numFmtId="0" fontId="102" fillId="0" borderId="0" xfId="0" applyFont="1">
      <alignment vertical="center"/>
    </xf>
    <xf numFmtId="0" fontId="37" fillId="0" borderId="0" xfId="0" applyFont="1" applyAlignment="1">
      <alignment horizontal="left" vertical="center"/>
    </xf>
    <xf numFmtId="0" fontId="42" fillId="0" borderId="0" xfId="0" applyFont="1">
      <alignment vertical="center"/>
    </xf>
    <xf numFmtId="0" fontId="0" fillId="0" borderId="0" xfId="0" applyAlignment="1">
      <alignment horizontal="left" vertical="center"/>
    </xf>
    <xf numFmtId="0" fontId="88" fillId="0" borderId="0" xfId="0" applyFont="1">
      <alignment vertical="center"/>
    </xf>
    <xf numFmtId="0" fontId="14" fillId="0" borderId="0" xfId="0" applyFont="1">
      <alignment vertical="center"/>
    </xf>
    <xf numFmtId="0" fontId="93" fillId="0" borderId="0" xfId="0" applyFont="1" applyAlignment="1">
      <alignment horizontal="center" vertical="center"/>
    </xf>
    <xf numFmtId="0" fontId="19" fillId="9" borderId="0" xfId="0" applyFont="1" applyFill="1">
      <alignment vertical="center"/>
    </xf>
    <xf numFmtId="0" fontId="98" fillId="11" borderId="0" xfId="0" applyFont="1" applyFill="1">
      <alignment vertical="center"/>
    </xf>
    <xf numFmtId="0" fontId="0" fillId="11" borderId="0" xfId="0" applyFill="1">
      <alignment vertical="center"/>
    </xf>
    <xf numFmtId="0" fontId="101" fillId="0" borderId="0" xfId="0" applyFont="1">
      <alignment vertical="center"/>
    </xf>
    <xf numFmtId="0" fontId="20" fillId="33" borderId="0" xfId="0" applyFont="1" applyFill="1">
      <alignment vertical="center"/>
    </xf>
    <xf numFmtId="0" fontId="19" fillId="33" borderId="0" xfId="0" applyFont="1" applyFill="1">
      <alignment vertical="center"/>
    </xf>
    <xf numFmtId="0" fontId="99" fillId="11" borderId="0" xfId="0" applyFont="1" applyFill="1">
      <alignment vertical="center"/>
    </xf>
    <xf numFmtId="0" fontId="20" fillId="12" borderId="0" xfId="0" applyFont="1" applyFill="1">
      <alignment vertical="center"/>
    </xf>
    <xf numFmtId="0" fontId="0" fillId="12" borderId="0" xfId="0" applyFill="1">
      <alignment vertical="center"/>
    </xf>
    <xf numFmtId="0" fontId="24" fillId="0" borderId="0" xfId="0" applyFont="1" applyAlignment="1" applyProtection="1">
      <alignment horizontal="left" vertical="center"/>
      <protection hidden="1"/>
    </xf>
    <xf numFmtId="0" fontId="0" fillId="0" borderId="0" xfId="0" applyAlignment="1">
      <alignment horizontal="right" vertical="center"/>
    </xf>
    <xf numFmtId="0" fontId="4" fillId="0" borderId="0" xfId="0" applyFont="1">
      <alignment vertical="center"/>
    </xf>
    <xf numFmtId="40" fontId="25" fillId="10" borderId="3" xfId="2" applyNumberFormat="1" applyFont="1" applyFill="1" applyBorder="1" applyAlignment="1" applyProtection="1">
      <alignment horizontal="center" vertical="center"/>
    </xf>
    <xf numFmtId="0" fontId="25" fillId="10" borderId="2"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5" xfId="0" applyFont="1" applyFill="1" applyBorder="1" applyAlignment="1">
      <alignment horizontal="center" vertical="center"/>
    </xf>
    <xf numFmtId="38" fontId="5" fillId="0" borderId="1" xfId="2" applyFont="1" applyBorder="1" applyAlignment="1" applyProtection="1">
      <alignment vertical="center" shrinkToFit="1"/>
    </xf>
    <xf numFmtId="40" fontId="5" fillId="0" borderId="18" xfId="2" applyNumberFormat="1" applyFont="1" applyBorder="1" applyAlignment="1" applyProtection="1">
      <alignment vertical="center" shrinkToFit="1"/>
    </xf>
    <xf numFmtId="38" fontId="5" fillId="0" borderId="18" xfId="2" applyFont="1" applyBorder="1" applyAlignment="1" applyProtection="1">
      <alignment vertical="center" shrinkToFit="1"/>
    </xf>
    <xf numFmtId="38" fontId="25" fillId="0" borderId="3" xfId="2" applyFont="1" applyBorder="1" applyProtection="1">
      <alignment vertical="center"/>
    </xf>
    <xf numFmtId="0" fontId="25" fillId="0" borderId="5" xfId="0" applyFont="1" applyBorder="1">
      <alignment vertical="center"/>
    </xf>
    <xf numFmtId="0" fontId="25" fillId="0" borderId="3" xfId="0" applyFont="1" applyBorder="1" applyAlignment="1">
      <alignment horizontal="center" vertical="center"/>
    </xf>
    <xf numFmtId="38" fontId="25" fillId="0" borderId="5" xfId="2" applyFont="1" applyBorder="1" applyProtection="1">
      <alignment vertical="center"/>
    </xf>
    <xf numFmtId="40" fontId="25" fillId="0" borderId="3" xfId="2" applyNumberFormat="1" applyFont="1" applyBorder="1" applyAlignment="1" applyProtection="1">
      <alignment horizontal="center" vertical="center"/>
    </xf>
    <xf numFmtId="38" fontId="5" fillId="0" borderId="2" xfId="2" applyFont="1" applyBorder="1" applyProtection="1">
      <alignment vertical="center"/>
    </xf>
    <xf numFmtId="0" fontId="0" fillId="0" borderId="1" xfId="0" applyBorder="1">
      <alignment vertical="center"/>
    </xf>
    <xf numFmtId="38" fontId="25" fillId="0" borderId="18" xfId="2" applyFont="1" applyBorder="1" applyProtection="1">
      <alignment vertical="center"/>
    </xf>
    <xf numFmtId="40" fontId="25" fillId="0" borderId="5" xfId="2" applyNumberFormat="1" applyFont="1" applyBorder="1" applyProtection="1">
      <alignment vertical="center"/>
    </xf>
    <xf numFmtId="38" fontId="25" fillId="0" borderId="1" xfId="2" applyFont="1" applyBorder="1" applyProtection="1">
      <alignment vertical="center"/>
    </xf>
    <xf numFmtId="40" fontId="25" fillId="0" borderId="5" xfId="2" applyNumberFormat="1" applyFont="1" applyBorder="1" applyAlignment="1" applyProtection="1">
      <alignment horizontal="right" vertical="center"/>
    </xf>
    <xf numFmtId="0" fontId="25" fillId="0" borderId="3" xfId="0" applyFont="1" applyBorder="1">
      <alignment vertical="center"/>
    </xf>
    <xf numFmtId="40" fontId="25" fillId="0" borderId="3" xfId="2" applyNumberFormat="1" applyFont="1" applyBorder="1" applyAlignment="1" applyProtection="1">
      <alignment horizontal="right" vertical="center"/>
    </xf>
    <xf numFmtId="38" fontId="30" fillId="0" borderId="0" xfId="2" applyFont="1" applyAlignment="1" applyProtection="1">
      <alignment horizontal="left" vertical="center"/>
    </xf>
    <xf numFmtId="38" fontId="25" fillId="0" borderId="6" xfId="2" applyFont="1" applyBorder="1" applyProtection="1">
      <alignment vertical="center"/>
    </xf>
    <xf numFmtId="38" fontId="25" fillId="0" borderId="19" xfId="2" applyFont="1" applyBorder="1" applyProtection="1">
      <alignment vertical="center"/>
    </xf>
    <xf numFmtId="38" fontId="30" fillId="0" borderId="0" xfId="2" applyFont="1" applyFill="1" applyAlignment="1" applyProtection="1">
      <alignment horizontal="right" vertical="center"/>
    </xf>
    <xf numFmtId="0" fontId="19" fillId="0" borderId="0" xfId="0" quotePrefix="1" applyFont="1" applyAlignment="1">
      <alignment horizontal="left" vertical="center"/>
    </xf>
    <xf numFmtId="38" fontId="5" fillId="0" borderId="6" xfId="2" applyFont="1" applyBorder="1" applyAlignment="1" applyProtection="1">
      <alignment vertical="center"/>
    </xf>
    <xf numFmtId="0" fontId="5" fillId="0" borderId="19" xfId="0" applyFont="1" applyBorder="1">
      <alignment vertical="center"/>
    </xf>
    <xf numFmtId="38" fontId="5" fillId="0" borderId="19" xfId="2" applyFont="1" applyBorder="1" applyAlignment="1" applyProtection="1">
      <alignment vertical="center"/>
    </xf>
    <xf numFmtId="38" fontId="0" fillId="0" borderId="0" xfId="2" applyFont="1" applyProtection="1">
      <alignment vertical="center"/>
    </xf>
    <xf numFmtId="0" fontId="5" fillId="10" borderId="2" xfId="0" applyFont="1" applyFill="1" applyBorder="1" applyAlignment="1">
      <alignment horizontal="center" vertical="center"/>
    </xf>
    <xf numFmtId="38" fontId="43" fillId="0" borderId="2" xfId="2" applyFont="1" applyFill="1" applyBorder="1" applyAlignment="1" applyProtection="1">
      <alignment horizontal="center" vertical="center"/>
    </xf>
    <xf numFmtId="0" fontId="25" fillId="10" borderId="68" xfId="0" applyFont="1" applyFill="1" applyBorder="1" applyAlignment="1">
      <alignment horizontal="center" vertical="center"/>
    </xf>
    <xf numFmtId="0" fontId="28" fillId="0" borderId="0" xfId="0" applyFont="1">
      <alignment vertical="center"/>
    </xf>
    <xf numFmtId="38" fontId="48" fillId="0" borderId="0" xfId="2" applyFont="1" applyBorder="1" applyProtection="1">
      <alignment vertical="center"/>
      <protection hidden="1"/>
    </xf>
    <xf numFmtId="0" fontId="48" fillId="0" borderId="0" xfId="0" applyFont="1" applyProtection="1">
      <alignment vertical="center"/>
      <protection hidden="1"/>
    </xf>
    <xf numFmtId="10" fontId="14" fillId="0" borderId="0" xfId="0" applyNumberFormat="1" applyFont="1" applyProtection="1">
      <alignment vertical="center"/>
      <protection hidden="1"/>
    </xf>
    <xf numFmtId="0" fontId="14" fillId="21" borderId="0" xfId="0" applyFont="1" applyFill="1" applyProtection="1">
      <alignment vertical="center"/>
      <protection hidden="1"/>
    </xf>
    <xf numFmtId="0" fontId="25" fillId="6" borderId="21" xfId="0" applyFont="1" applyFill="1" applyBorder="1">
      <alignment vertical="center"/>
    </xf>
    <xf numFmtId="0" fontId="78" fillId="6" borderId="14" xfId="0" applyFont="1" applyFill="1" applyBorder="1">
      <alignment vertical="center"/>
    </xf>
    <xf numFmtId="0" fontId="25" fillId="6" borderId="22" xfId="0" applyFont="1" applyFill="1" applyBorder="1">
      <alignment vertical="center"/>
    </xf>
    <xf numFmtId="0" fontId="25" fillId="6" borderId="23" xfId="0" applyFont="1" applyFill="1" applyBorder="1">
      <alignment vertical="center"/>
    </xf>
    <xf numFmtId="0" fontId="17" fillId="6" borderId="0" xfId="0" applyFont="1" applyFill="1">
      <alignment vertical="center"/>
    </xf>
    <xf numFmtId="0" fontId="78" fillId="6" borderId="0" xfId="0" applyFont="1" applyFill="1">
      <alignment vertical="center"/>
    </xf>
    <xf numFmtId="0" fontId="25" fillId="6" borderId="24" xfId="0" applyFont="1" applyFill="1" applyBorder="1">
      <alignment vertical="center"/>
    </xf>
    <xf numFmtId="0" fontId="25" fillId="6" borderId="25" xfId="0" applyFont="1" applyFill="1" applyBorder="1">
      <alignment vertical="center"/>
    </xf>
    <xf numFmtId="0" fontId="78" fillId="6" borderId="26" xfId="0" applyFont="1" applyFill="1" applyBorder="1">
      <alignment vertical="center"/>
    </xf>
    <xf numFmtId="0" fontId="25" fillId="6" borderId="27" xfId="0" applyFont="1" applyFill="1" applyBorder="1">
      <alignment vertical="center"/>
    </xf>
    <xf numFmtId="0" fontId="7" fillId="0" borderId="0" xfId="0" applyFont="1">
      <alignment vertical="center"/>
    </xf>
    <xf numFmtId="0" fontId="7" fillId="0" borderId="0" xfId="0" quotePrefix="1" applyFont="1" applyAlignment="1">
      <alignment horizontal="left"/>
    </xf>
    <xf numFmtId="55" fontId="0" fillId="0" borderId="0" xfId="0" applyNumberFormat="1">
      <alignment vertical="center"/>
    </xf>
    <xf numFmtId="0" fontId="95" fillId="27" borderId="0" xfId="0" applyFont="1" applyFill="1" applyAlignment="1">
      <alignment horizontal="center" vertical="center"/>
    </xf>
    <xf numFmtId="0" fontId="33" fillId="8" borderId="39" xfId="0" applyFont="1" applyFill="1" applyBorder="1" applyAlignment="1" applyProtection="1">
      <alignment horizontal="center" vertical="center" wrapText="1"/>
      <protection locked="0"/>
    </xf>
    <xf numFmtId="0" fontId="33" fillId="8" borderId="35" xfId="0" applyFont="1" applyFill="1" applyBorder="1" applyAlignment="1" applyProtection="1">
      <alignment horizontal="center" vertical="center" wrapText="1"/>
      <protection locked="0"/>
    </xf>
    <xf numFmtId="0" fontId="33" fillId="7" borderId="10" xfId="0" applyFont="1" applyFill="1" applyBorder="1" applyAlignment="1" applyProtection="1">
      <alignment horizontal="center" vertical="center" wrapText="1"/>
      <protection locked="0"/>
    </xf>
    <xf numFmtId="0" fontId="33" fillId="7" borderId="48" xfId="0" applyFont="1" applyFill="1" applyBorder="1" applyAlignment="1" applyProtection="1">
      <alignment horizontal="center" vertical="center" wrapText="1"/>
      <protection locked="0"/>
    </xf>
    <xf numFmtId="0" fontId="33" fillId="7" borderId="39" xfId="0" applyFont="1" applyFill="1" applyBorder="1" applyAlignment="1" applyProtection="1">
      <alignment horizontal="center" vertical="center" wrapText="1"/>
      <protection locked="0"/>
    </xf>
    <xf numFmtId="0" fontId="33" fillId="7" borderId="9" xfId="0" applyFont="1" applyFill="1" applyBorder="1" applyAlignment="1" applyProtection="1">
      <alignment horizontal="center" vertical="center" wrapText="1"/>
      <protection locked="0"/>
    </xf>
    <xf numFmtId="0" fontId="33" fillId="7" borderId="12" xfId="0" applyFont="1" applyFill="1" applyBorder="1" applyAlignment="1" applyProtection="1">
      <alignment horizontal="center" vertical="center" wrapText="1"/>
      <protection locked="0"/>
    </xf>
    <xf numFmtId="0" fontId="33" fillId="8" borderId="2" xfId="0" applyFont="1" applyFill="1" applyBorder="1" applyAlignment="1" applyProtection="1">
      <alignment horizontal="center" vertical="center" wrapText="1"/>
      <protection locked="0"/>
    </xf>
    <xf numFmtId="0" fontId="33" fillId="9" borderId="30" xfId="0" applyFont="1" applyFill="1" applyBorder="1" applyAlignment="1" applyProtection="1">
      <alignment horizontal="center" vertical="center" wrapText="1"/>
      <protection locked="0"/>
    </xf>
    <xf numFmtId="0" fontId="33" fillId="9" borderId="68" xfId="0" applyFont="1" applyFill="1" applyBorder="1" applyAlignment="1" applyProtection="1">
      <alignment horizontal="center" vertical="center" wrapText="1"/>
      <protection locked="0"/>
    </xf>
    <xf numFmtId="0" fontId="33" fillId="8" borderId="30" xfId="0" applyFont="1" applyFill="1" applyBorder="1" applyAlignment="1" applyProtection="1">
      <alignment horizontal="center" vertical="center" wrapText="1"/>
      <protection locked="0"/>
    </xf>
    <xf numFmtId="0" fontId="33" fillId="8" borderId="68" xfId="0" applyFont="1" applyFill="1" applyBorder="1" applyAlignment="1" applyProtection="1">
      <alignment horizontal="center" vertical="center" wrapText="1"/>
      <protection locked="0"/>
    </xf>
    <xf numFmtId="0" fontId="33" fillId="14" borderId="30" xfId="0" applyFont="1" applyFill="1" applyBorder="1" applyAlignment="1" applyProtection="1">
      <alignment horizontal="center" vertical="center" wrapText="1"/>
      <protection locked="0"/>
    </xf>
    <xf numFmtId="0" fontId="33" fillId="14" borderId="68" xfId="0" applyFont="1" applyFill="1" applyBorder="1" applyAlignment="1" applyProtection="1">
      <alignment horizontal="center" vertical="center" wrapText="1"/>
      <protection locked="0"/>
    </xf>
    <xf numFmtId="0" fontId="64" fillId="0" borderId="30" xfId="0" applyFont="1" applyBorder="1" applyAlignment="1" applyProtection="1">
      <alignment horizontal="center" vertical="center"/>
      <protection locked="0"/>
    </xf>
    <xf numFmtId="0" fontId="64" fillId="0" borderId="68" xfId="0" applyFont="1" applyBorder="1" applyAlignment="1" applyProtection="1">
      <alignment horizontal="center" vertical="center"/>
      <protection locked="0"/>
    </xf>
    <xf numFmtId="0" fontId="77" fillId="7" borderId="3" xfId="0" applyFont="1" applyFill="1" applyBorder="1" applyAlignment="1" applyProtection="1">
      <alignment horizontal="center" vertical="center" wrapText="1"/>
      <protection locked="0"/>
    </xf>
    <xf numFmtId="0" fontId="77" fillId="7" borderId="4" xfId="0" applyFont="1" applyFill="1" applyBorder="1" applyAlignment="1" applyProtection="1">
      <alignment horizontal="center" vertical="center" wrapText="1"/>
      <protection locked="0"/>
    </xf>
    <xf numFmtId="0" fontId="77" fillId="7" borderId="5" xfId="0" applyFont="1" applyFill="1" applyBorder="1" applyAlignment="1" applyProtection="1">
      <alignment horizontal="center" vertical="center" wrapText="1"/>
      <protection locked="0"/>
    </xf>
    <xf numFmtId="37" fontId="33" fillId="3" borderId="2" xfId="4" applyFont="1" applyFill="1" applyBorder="1" applyAlignment="1" applyProtection="1">
      <alignment horizontal="center" vertical="center"/>
      <protection locked="0"/>
    </xf>
    <xf numFmtId="183" fontId="35" fillId="0" borderId="3" xfId="4" applyNumberFormat="1" applyFont="1" applyBorder="1" applyAlignment="1" applyProtection="1">
      <alignment horizontal="center" vertical="center"/>
      <protection locked="0"/>
    </xf>
    <xf numFmtId="183" fontId="35" fillId="0" borderId="4" xfId="4" applyNumberFormat="1" applyFont="1" applyBorder="1" applyAlignment="1" applyProtection="1">
      <alignment horizontal="center" vertical="center"/>
      <protection locked="0"/>
    </xf>
    <xf numFmtId="183" fontId="35" fillId="0" borderId="5" xfId="4" applyNumberFormat="1" applyFont="1" applyBorder="1" applyAlignment="1" applyProtection="1">
      <alignment horizontal="center" vertical="center"/>
      <protection locked="0"/>
    </xf>
    <xf numFmtId="0" fontId="72" fillId="7" borderId="9" xfId="0" applyFont="1" applyFill="1" applyBorder="1" applyAlignment="1" applyProtection="1">
      <alignment horizontal="center" vertical="center"/>
      <protection locked="0"/>
    </xf>
    <xf numFmtId="0" fontId="72" fillId="7" borderId="12" xfId="0" applyFont="1" applyFill="1" applyBorder="1" applyAlignment="1" applyProtection="1">
      <alignment horizontal="center" vertical="center"/>
      <protection locked="0"/>
    </xf>
    <xf numFmtId="0" fontId="78" fillId="7" borderId="2" xfId="0" applyFont="1" applyFill="1" applyBorder="1" applyAlignment="1" applyProtection="1">
      <alignment horizontal="center" vertical="center" wrapText="1"/>
      <protection locked="0"/>
    </xf>
    <xf numFmtId="0" fontId="78" fillId="7" borderId="2" xfId="0" applyFont="1" applyFill="1" applyBorder="1" applyAlignment="1" applyProtection="1">
      <alignment horizontal="center" vertical="center"/>
      <protection locked="0"/>
    </xf>
    <xf numFmtId="0" fontId="33" fillId="7" borderId="2" xfId="0" applyFont="1" applyFill="1" applyBorder="1" applyAlignment="1" applyProtection="1">
      <alignment horizontal="center" vertical="center" wrapText="1"/>
      <protection locked="0"/>
    </xf>
    <xf numFmtId="0" fontId="33" fillId="7" borderId="2" xfId="0" applyFont="1" applyFill="1" applyBorder="1" applyAlignment="1" applyProtection="1">
      <alignment horizontal="center" vertical="center"/>
      <protection locked="0"/>
    </xf>
    <xf numFmtId="0" fontId="33" fillId="7" borderId="12" xfId="0" applyFont="1" applyFill="1" applyBorder="1" applyAlignment="1" applyProtection="1">
      <alignment horizontal="center" vertical="center"/>
      <protection locked="0"/>
    </xf>
    <xf numFmtId="0" fontId="33" fillId="8" borderId="5" xfId="0" applyFont="1" applyFill="1" applyBorder="1" applyAlignment="1" applyProtection="1">
      <alignment horizontal="center" vertical="center"/>
      <protection locked="0"/>
    </xf>
    <xf numFmtId="0" fontId="33" fillId="8" borderId="2" xfId="0" applyFont="1" applyFill="1" applyBorder="1" applyAlignment="1" applyProtection="1">
      <alignment horizontal="center" vertical="center"/>
      <protection locked="0"/>
    </xf>
    <xf numFmtId="0" fontId="43" fillId="25" borderId="30" xfId="0" applyFont="1" applyFill="1" applyBorder="1" applyAlignment="1" applyProtection="1">
      <alignment horizontal="center" vertical="center"/>
      <protection locked="0"/>
    </xf>
    <xf numFmtId="0" fontId="43" fillId="25" borderId="68" xfId="0" applyFont="1" applyFill="1" applyBorder="1" applyAlignment="1" applyProtection="1">
      <alignment horizontal="center" vertical="center"/>
      <protection locked="0"/>
    </xf>
    <xf numFmtId="0" fontId="4" fillId="22" borderId="54" xfId="0" applyFont="1" applyFill="1" applyBorder="1" applyAlignment="1" applyProtection="1">
      <alignment horizontal="center" vertical="center" wrapText="1"/>
      <protection locked="0"/>
    </xf>
    <xf numFmtId="0" fontId="4" fillId="22" borderId="63" xfId="0" applyFont="1" applyFill="1" applyBorder="1" applyAlignment="1" applyProtection="1">
      <alignment horizontal="center" vertical="center" wrapText="1"/>
      <protection locked="0"/>
    </xf>
    <xf numFmtId="31" fontId="57" fillId="0" borderId="0" xfId="0" applyNumberFormat="1" applyFont="1" applyAlignment="1" applyProtection="1">
      <alignment horizontal="left" vertical="center"/>
      <protection locked="0"/>
    </xf>
    <xf numFmtId="0" fontId="4" fillId="6" borderId="28" xfId="0" applyFont="1" applyFill="1" applyBorder="1" applyAlignment="1" applyProtection="1">
      <alignment horizontal="center" vertical="center"/>
      <protection locked="0"/>
    </xf>
    <xf numFmtId="0" fontId="4" fillId="6" borderId="54" xfId="0" applyFont="1" applyFill="1" applyBorder="1" applyAlignment="1" applyProtection="1">
      <alignment horizontal="center" vertical="center"/>
      <protection locked="0"/>
    </xf>
    <xf numFmtId="38" fontId="27" fillId="0" borderId="22" xfId="2" applyFont="1" applyFill="1" applyBorder="1" applyAlignment="1" applyProtection="1">
      <alignment horizontal="center" vertical="center"/>
      <protection locked="0"/>
    </xf>
    <xf numFmtId="38" fontId="27" fillId="0" borderId="27" xfId="2" applyFont="1" applyFill="1" applyBorder="1" applyAlignment="1" applyProtection="1">
      <alignment horizontal="center" vertical="center"/>
      <protection locked="0"/>
    </xf>
    <xf numFmtId="0" fontId="4" fillId="7" borderId="63" xfId="0" applyFont="1" applyFill="1" applyBorder="1" applyAlignment="1" applyProtection="1">
      <alignment horizontal="center" vertical="center"/>
      <protection locked="0"/>
    </xf>
    <xf numFmtId="0" fontId="4" fillId="7" borderId="74" xfId="0" applyFont="1" applyFill="1" applyBorder="1" applyAlignment="1" applyProtection="1">
      <alignment horizontal="center" vertical="center"/>
      <protection locked="0"/>
    </xf>
    <xf numFmtId="0" fontId="4" fillId="20" borderId="54" xfId="0" applyFont="1" applyFill="1" applyBorder="1" applyAlignment="1" applyProtection="1">
      <alignment horizontal="center" vertical="center"/>
      <protection locked="0"/>
    </xf>
    <xf numFmtId="0" fontId="4" fillId="20" borderId="63" xfId="0" applyFont="1" applyFill="1" applyBorder="1" applyAlignment="1" applyProtection="1">
      <alignment horizontal="center" vertical="center"/>
      <protection locked="0"/>
    </xf>
    <xf numFmtId="0" fontId="4" fillId="20" borderId="74" xfId="0" applyFont="1" applyFill="1" applyBorder="1" applyAlignment="1" applyProtection="1">
      <alignment horizontal="center" vertical="center"/>
      <protection locked="0"/>
    </xf>
    <xf numFmtId="0" fontId="47" fillId="7" borderId="21" xfId="0" applyFont="1" applyFill="1" applyBorder="1" applyAlignment="1" applyProtection="1">
      <alignment horizontal="center" vertical="center" wrapText="1"/>
      <protection locked="0"/>
    </xf>
    <xf numFmtId="0" fontId="47" fillId="7" borderId="22" xfId="0" applyFont="1" applyFill="1" applyBorder="1" applyAlignment="1" applyProtection="1">
      <alignment horizontal="center" vertical="center" wrapText="1"/>
      <protection locked="0"/>
    </xf>
    <xf numFmtId="0" fontId="47" fillId="7" borderId="25" xfId="0" applyFont="1" applyFill="1" applyBorder="1" applyAlignment="1" applyProtection="1">
      <alignment horizontal="center" vertical="center" wrapText="1"/>
      <protection locked="0"/>
    </xf>
    <xf numFmtId="0" fontId="47" fillId="7" borderId="27" xfId="0" applyFont="1" applyFill="1" applyBorder="1" applyAlignment="1" applyProtection="1">
      <alignment horizontal="center" vertical="center" wrapText="1"/>
      <protection locked="0"/>
    </xf>
    <xf numFmtId="0" fontId="47" fillId="7" borderId="54" xfId="0" applyFont="1" applyFill="1" applyBorder="1" applyAlignment="1" applyProtection="1">
      <alignment horizontal="center" vertical="center"/>
      <protection locked="0"/>
    </xf>
    <xf numFmtId="0" fontId="47" fillId="7" borderId="63" xfId="0" applyFont="1" applyFill="1" applyBorder="1" applyAlignment="1" applyProtection="1">
      <alignment horizontal="center" vertical="center"/>
      <protection locked="0"/>
    </xf>
    <xf numFmtId="0" fontId="47" fillId="7" borderId="74" xfId="0" applyFont="1" applyFill="1" applyBorder="1" applyAlignment="1" applyProtection="1">
      <alignment horizontal="center" vertical="center"/>
      <protection locked="0"/>
    </xf>
    <xf numFmtId="0" fontId="4" fillId="7" borderId="28" xfId="0" applyFont="1" applyFill="1" applyBorder="1" applyAlignment="1" applyProtection="1">
      <alignment horizontal="center" vertical="center"/>
      <protection locked="0"/>
    </xf>
    <xf numFmtId="0" fontId="4" fillId="7" borderId="28" xfId="0" applyFont="1" applyFill="1" applyBorder="1" applyAlignment="1" applyProtection="1">
      <alignment horizontal="center" vertical="top" wrapText="1"/>
      <protection locked="0"/>
    </xf>
    <xf numFmtId="0" fontId="4" fillId="25" borderId="21" xfId="0" applyFont="1" applyFill="1" applyBorder="1" applyAlignment="1" applyProtection="1">
      <alignment horizontal="center" vertical="center"/>
      <protection locked="0"/>
    </xf>
    <xf numFmtId="0" fontId="4" fillId="25" borderId="22" xfId="0" applyFont="1" applyFill="1" applyBorder="1" applyAlignment="1" applyProtection="1">
      <alignment horizontal="center" vertical="center"/>
      <protection locked="0"/>
    </xf>
    <xf numFmtId="0" fontId="4" fillId="25" borderId="25" xfId="0" applyFont="1" applyFill="1" applyBorder="1" applyAlignment="1" applyProtection="1">
      <alignment horizontal="center" vertical="center"/>
      <protection locked="0"/>
    </xf>
    <xf numFmtId="0" fontId="4" fillId="25" borderId="27" xfId="0" applyFont="1" applyFill="1" applyBorder="1" applyAlignment="1" applyProtection="1">
      <alignment horizontal="center" vertical="center"/>
      <protection locked="0"/>
    </xf>
    <xf numFmtId="0" fontId="25" fillId="7" borderId="54" xfId="0" applyFont="1" applyFill="1" applyBorder="1" applyAlignment="1" applyProtection="1">
      <alignment horizontal="center" vertical="center"/>
      <protection locked="0"/>
    </xf>
    <xf numFmtId="0" fontId="25" fillId="7" borderId="74" xfId="0" applyFont="1" applyFill="1" applyBorder="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29" fillId="0" borderId="82" xfId="0" applyFont="1" applyBorder="1" applyAlignment="1">
      <alignment horizontal="left" vertical="center" wrapText="1"/>
    </xf>
    <xf numFmtId="0" fontId="29" fillId="0" borderId="83" xfId="0" applyFont="1" applyBorder="1" applyAlignment="1">
      <alignment horizontal="left" vertical="center" wrapText="1"/>
    </xf>
    <xf numFmtId="0" fontId="29" fillId="0" borderId="84" xfId="0" applyFont="1" applyBorder="1" applyAlignment="1">
      <alignment horizontal="left" vertical="center" wrapText="1"/>
    </xf>
    <xf numFmtId="0" fontId="29" fillId="16" borderId="9" xfId="0" applyFont="1" applyFill="1" applyBorder="1" applyAlignment="1">
      <alignment horizontal="left" vertical="center" wrapText="1"/>
    </xf>
    <xf numFmtId="0" fontId="29" fillId="16" borderId="12" xfId="0" applyFont="1" applyFill="1" applyBorder="1" applyAlignment="1">
      <alignment horizontal="left" vertical="center"/>
    </xf>
    <xf numFmtId="0" fontId="20" fillId="16" borderId="2" xfId="0" applyFont="1" applyFill="1" applyBorder="1" applyAlignment="1">
      <alignment horizontal="center" vertical="center"/>
    </xf>
    <xf numFmtId="0" fontId="29" fillId="6" borderId="9" xfId="0" applyFont="1" applyFill="1" applyBorder="1" applyAlignment="1">
      <alignment horizontal="center" vertical="center" wrapText="1"/>
    </xf>
    <xf numFmtId="0" fontId="29" fillId="6" borderId="40"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0" fillId="16" borderId="9" xfId="0" applyFont="1" applyFill="1" applyBorder="1" applyAlignment="1">
      <alignment horizontal="center" vertical="center"/>
    </xf>
    <xf numFmtId="0" fontId="20" fillId="16" borderId="40" xfId="0" applyFont="1" applyFill="1" applyBorder="1" applyAlignment="1">
      <alignment horizontal="center" vertical="center"/>
    </xf>
    <xf numFmtId="0" fontId="20" fillId="16" borderId="12" xfId="0" applyFont="1" applyFill="1" applyBorder="1" applyAlignment="1">
      <alignment horizontal="center" vertical="center"/>
    </xf>
    <xf numFmtId="0" fontId="29" fillId="16" borderId="9" xfId="0" applyFont="1" applyFill="1" applyBorder="1" applyAlignment="1">
      <alignment horizontal="center" vertical="center" wrapText="1"/>
    </xf>
    <xf numFmtId="0" fontId="29" fillId="16" borderId="40" xfId="0" applyFont="1" applyFill="1" applyBorder="1" applyAlignment="1">
      <alignment horizontal="center" vertical="center" wrapText="1"/>
    </xf>
    <xf numFmtId="0" fontId="29" fillId="16" borderId="40" xfId="0" applyFont="1" applyFill="1" applyBorder="1" applyAlignment="1">
      <alignment horizontal="center" vertical="center"/>
    </xf>
    <xf numFmtId="0" fontId="29" fillId="16" borderId="12" xfId="0" applyFont="1" applyFill="1" applyBorder="1" applyAlignment="1">
      <alignment horizontal="center" vertical="center"/>
    </xf>
    <xf numFmtId="0" fontId="29" fillId="16" borderId="2" xfId="0" applyFont="1" applyFill="1" applyBorder="1" applyAlignment="1">
      <alignment horizontal="center" vertical="center" wrapText="1"/>
    </xf>
    <xf numFmtId="0" fontId="29" fillId="16" borderId="2" xfId="0" applyFont="1" applyFill="1" applyBorder="1" applyAlignment="1">
      <alignment horizontal="center" vertical="center"/>
    </xf>
    <xf numFmtId="0" fontId="25" fillId="7" borderId="2" xfId="0" applyFont="1" applyFill="1" applyBorder="1" applyAlignment="1" applyProtection="1">
      <alignment horizontal="center" vertical="center"/>
      <protection hidden="1"/>
    </xf>
    <xf numFmtId="0" fontId="25" fillId="7" borderId="12" xfId="0" applyFont="1" applyFill="1" applyBorder="1" applyAlignment="1" applyProtection="1">
      <alignment horizontal="center" vertical="center"/>
      <protection hidden="1"/>
    </xf>
    <xf numFmtId="0" fontId="107" fillId="16" borderId="2" xfId="0" applyFont="1" applyFill="1" applyBorder="1" applyAlignment="1" applyProtection="1">
      <alignment horizontal="center" vertical="center"/>
      <protection hidden="1"/>
    </xf>
    <xf numFmtId="0" fontId="20" fillId="7" borderId="2" xfId="0" applyFont="1" applyFill="1" applyBorder="1" applyAlignment="1" applyProtection="1">
      <alignment horizontal="center" vertical="center" wrapText="1"/>
      <protection hidden="1"/>
    </xf>
    <xf numFmtId="0" fontId="20" fillId="7" borderId="9" xfId="0" applyFont="1" applyFill="1" applyBorder="1" applyAlignment="1" applyProtection="1">
      <alignment horizontal="center" vertical="center" wrapText="1"/>
      <protection hidden="1"/>
    </xf>
    <xf numFmtId="0" fontId="108" fillId="16" borderId="2" xfId="0" applyFont="1" applyFill="1" applyBorder="1" applyAlignment="1" applyProtection="1">
      <alignment horizontal="center" vertical="center"/>
      <protection hidden="1"/>
    </xf>
    <xf numFmtId="0" fontId="43" fillId="20" borderId="30" xfId="0" applyFont="1" applyFill="1" applyBorder="1" applyAlignment="1" applyProtection="1">
      <alignment horizontal="center" vertical="center" wrapText="1"/>
      <protection hidden="1"/>
    </xf>
    <xf numFmtId="0" fontId="43" fillId="20" borderId="68" xfId="0" applyFont="1" applyFill="1" applyBorder="1" applyAlignment="1" applyProtection="1">
      <alignment horizontal="center" vertical="center" wrapText="1"/>
      <protection hidden="1"/>
    </xf>
    <xf numFmtId="0" fontId="108" fillId="16" borderId="2" xfId="0" applyFont="1" applyFill="1" applyBorder="1" applyAlignment="1" applyProtection="1">
      <alignment horizontal="center" vertical="center" wrapText="1"/>
      <protection hidden="1"/>
    </xf>
    <xf numFmtId="0" fontId="111" fillId="16" borderId="2" xfId="0" applyFont="1" applyFill="1" applyBorder="1" applyAlignment="1" applyProtection="1">
      <alignment horizontal="center" vertical="center"/>
      <protection hidden="1"/>
    </xf>
    <xf numFmtId="0" fontId="108" fillId="16" borderId="9" xfId="0" applyFont="1" applyFill="1" applyBorder="1" applyAlignment="1" applyProtection="1">
      <alignment horizontal="center" vertical="center" wrapText="1"/>
      <protection hidden="1"/>
    </xf>
    <xf numFmtId="0" fontId="108" fillId="16" borderId="12" xfId="0" applyFont="1" applyFill="1" applyBorder="1" applyAlignment="1" applyProtection="1">
      <alignment horizontal="center" vertical="center" wrapText="1"/>
      <protection hidden="1"/>
    </xf>
    <xf numFmtId="0" fontId="25" fillId="7" borderId="54" xfId="0" applyFont="1" applyFill="1" applyBorder="1" applyAlignment="1" applyProtection="1">
      <alignment horizontal="center" vertical="center"/>
      <protection hidden="1"/>
    </xf>
    <xf numFmtId="0" fontId="25" fillId="7" borderId="74" xfId="0" applyFont="1" applyFill="1" applyBorder="1" applyAlignment="1" applyProtection="1">
      <alignment horizontal="center" vertical="center"/>
      <protection hidden="1"/>
    </xf>
    <xf numFmtId="0" fontId="25" fillId="7" borderId="28" xfId="0" applyFont="1" applyFill="1" applyBorder="1" applyAlignment="1" applyProtection="1">
      <alignment horizontal="center" vertical="center"/>
      <protection hidden="1"/>
    </xf>
    <xf numFmtId="0" fontId="25" fillId="7" borderId="63" xfId="0" applyFont="1" applyFill="1" applyBorder="1" applyAlignment="1" applyProtection="1">
      <alignment horizontal="center" vertical="center"/>
      <protection hidden="1"/>
    </xf>
    <xf numFmtId="0" fontId="33" fillId="7" borderId="2" xfId="0" applyFont="1" applyFill="1" applyBorder="1" applyAlignment="1" applyProtection="1">
      <alignment horizontal="center" vertical="center" wrapText="1"/>
      <protection hidden="1"/>
    </xf>
    <xf numFmtId="0" fontId="5" fillId="7" borderId="31" xfId="0" applyFont="1" applyFill="1" applyBorder="1" applyAlignment="1" applyProtection="1">
      <alignment horizontal="center" vertical="center"/>
      <protection hidden="1"/>
    </xf>
    <xf numFmtId="0" fontId="5" fillId="7" borderId="52" xfId="0" applyFont="1" applyFill="1" applyBorder="1" applyAlignment="1" applyProtection="1">
      <alignment horizontal="center" vertical="center"/>
      <protection hidden="1"/>
    </xf>
    <xf numFmtId="0" fontId="5" fillId="7" borderId="36" xfId="0" applyFont="1" applyFill="1" applyBorder="1" applyAlignment="1" applyProtection="1">
      <alignment horizontal="center" vertical="center"/>
      <protection hidden="1"/>
    </xf>
    <xf numFmtId="0" fontId="16" fillId="16" borderId="72" xfId="0" applyFont="1" applyFill="1" applyBorder="1" applyAlignment="1" applyProtection="1">
      <alignment horizontal="center" vertical="center"/>
      <protection hidden="1"/>
    </xf>
    <xf numFmtId="0" fontId="16" fillId="16" borderId="71" xfId="0" applyFont="1" applyFill="1" applyBorder="1" applyAlignment="1" applyProtection="1">
      <alignment horizontal="center" vertical="center"/>
      <protection hidden="1"/>
    </xf>
    <xf numFmtId="0" fontId="20" fillId="7" borderId="31" xfId="0" applyFont="1" applyFill="1" applyBorder="1" applyAlignment="1" applyProtection="1">
      <alignment horizontal="center" vertical="center"/>
      <protection hidden="1"/>
    </xf>
    <xf numFmtId="0" fontId="20" fillId="7" borderId="52" xfId="0" applyFont="1" applyFill="1" applyBorder="1" applyAlignment="1" applyProtection="1">
      <alignment horizontal="center" vertical="center"/>
      <protection hidden="1"/>
    </xf>
    <xf numFmtId="0" fontId="20" fillId="7" borderId="22" xfId="0" applyFont="1" applyFill="1" applyBorder="1" applyAlignment="1" applyProtection="1">
      <alignment horizontal="center" vertical="center"/>
      <protection hidden="1"/>
    </xf>
    <xf numFmtId="0" fontId="20" fillId="7" borderId="32" xfId="0" applyFont="1" applyFill="1" applyBorder="1" applyAlignment="1" applyProtection="1">
      <alignment horizontal="center" vertical="center"/>
      <protection hidden="1"/>
    </xf>
    <xf numFmtId="0" fontId="20" fillId="7" borderId="4" xfId="0" applyFont="1" applyFill="1" applyBorder="1" applyAlignment="1" applyProtection="1">
      <alignment horizontal="center" vertical="center"/>
      <protection hidden="1"/>
    </xf>
    <xf numFmtId="0" fontId="20" fillId="7" borderId="5" xfId="0" applyFont="1" applyFill="1" applyBorder="1" applyAlignment="1" applyProtection="1">
      <alignment horizontal="center" vertical="center"/>
      <protection hidden="1"/>
    </xf>
    <xf numFmtId="0" fontId="20" fillId="7" borderId="109" xfId="0" applyFont="1" applyFill="1" applyBorder="1" applyAlignment="1" applyProtection="1">
      <alignment horizontal="center" vertical="center"/>
      <protection hidden="1"/>
    </xf>
    <xf numFmtId="0" fontId="20" fillId="7" borderId="62" xfId="0" applyFont="1" applyFill="1" applyBorder="1" applyAlignment="1" applyProtection="1">
      <alignment horizontal="center" vertical="center"/>
      <protection hidden="1"/>
    </xf>
    <xf numFmtId="0" fontId="114" fillId="16" borderId="72" xfId="0" applyFont="1" applyFill="1" applyBorder="1" applyAlignment="1" applyProtection="1">
      <alignment horizontal="center" vertical="center"/>
      <protection hidden="1"/>
    </xf>
    <xf numFmtId="0" fontId="114" fillId="16" borderId="76" xfId="0" applyFont="1" applyFill="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5" fillId="0" borderId="100" xfId="0" applyFont="1" applyBorder="1" applyAlignment="1" applyProtection="1">
      <alignment horizontal="left" vertical="center" wrapText="1"/>
      <protection hidden="1"/>
    </xf>
    <xf numFmtId="0" fontId="5" fillId="0" borderId="106" xfId="0" applyFont="1" applyBorder="1" applyAlignment="1" applyProtection="1">
      <alignment horizontal="left" vertical="center" wrapText="1"/>
      <protection hidden="1"/>
    </xf>
    <xf numFmtId="0" fontId="5" fillId="0" borderId="101" xfId="0" applyFont="1" applyBorder="1" applyAlignment="1" applyProtection="1">
      <alignment horizontal="left" vertical="center" wrapText="1"/>
      <protection hidden="1"/>
    </xf>
    <xf numFmtId="0" fontId="5" fillId="0" borderId="102" xfId="0" applyFont="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103" xfId="0" applyFont="1" applyBorder="1" applyAlignment="1" applyProtection="1">
      <alignment horizontal="left" vertical="center" wrapText="1"/>
      <protection hidden="1"/>
    </xf>
    <xf numFmtId="0" fontId="5" fillId="0" borderId="104" xfId="0" applyFont="1" applyBorder="1" applyAlignment="1" applyProtection="1">
      <alignment horizontal="left" vertical="center" wrapText="1"/>
      <protection hidden="1"/>
    </xf>
    <xf numFmtId="0" fontId="5" fillId="0" borderId="107" xfId="0" applyFont="1" applyBorder="1" applyAlignment="1" applyProtection="1">
      <alignment horizontal="left" vertical="center" wrapText="1"/>
      <protection hidden="1"/>
    </xf>
    <xf numFmtId="0" fontId="5" fillId="0" borderId="105" xfId="0" applyFont="1" applyBorder="1" applyAlignment="1" applyProtection="1">
      <alignment horizontal="left" vertical="center" wrapText="1"/>
      <protection hidden="1"/>
    </xf>
    <xf numFmtId="0" fontId="1" fillId="2" borderId="31" xfId="0" applyFont="1" applyFill="1" applyBorder="1" applyAlignment="1">
      <alignment horizontal="center" vertical="center"/>
    </xf>
    <xf numFmtId="0" fontId="1" fillId="2" borderId="52"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36" xfId="0" applyFont="1" applyFill="1" applyBorder="1" applyAlignment="1">
      <alignment horizontal="center" vertical="center"/>
    </xf>
    <xf numFmtId="0" fontId="1" fillId="2" borderId="33" xfId="0" applyFont="1" applyFill="1" applyBorder="1" applyAlignment="1">
      <alignment horizontal="center"/>
    </xf>
    <xf numFmtId="0" fontId="1" fillId="2" borderId="0" xfId="0" applyFont="1" applyFill="1" applyAlignment="1">
      <alignment horizontal="center"/>
    </xf>
    <xf numFmtId="0" fontId="25" fillId="10" borderId="3" xfId="0" applyFont="1" applyFill="1" applyBorder="1" applyAlignment="1">
      <alignment horizontal="center" vertical="center"/>
    </xf>
    <xf numFmtId="0" fontId="25" fillId="10" borderId="4" xfId="0" applyFont="1" applyFill="1" applyBorder="1" applyAlignment="1">
      <alignment horizontal="center" vertical="center"/>
    </xf>
    <xf numFmtId="0" fontId="25" fillId="10" borderId="5" xfId="0" applyFont="1" applyFill="1" applyBorder="1" applyAlignment="1">
      <alignment horizontal="center" vertical="center"/>
    </xf>
    <xf numFmtId="0" fontId="25" fillId="10" borderId="2" xfId="0" applyFont="1" applyFill="1" applyBorder="1" applyAlignment="1">
      <alignment horizontal="center" vertical="center"/>
    </xf>
    <xf numFmtId="0" fontId="25" fillId="0" borderId="2" xfId="0" applyFont="1" applyBorder="1" applyAlignment="1">
      <alignment horizontal="center" vertical="center"/>
    </xf>
    <xf numFmtId="38" fontId="5" fillId="12" borderId="31" xfId="2" applyFont="1" applyFill="1" applyBorder="1" applyAlignment="1" applyProtection="1">
      <alignment horizontal="center" vertical="center" shrinkToFit="1"/>
    </xf>
    <xf numFmtId="38" fontId="5" fillId="12" borderId="36" xfId="2" applyFont="1" applyFill="1" applyBorder="1" applyAlignment="1" applyProtection="1">
      <alignment horizontal="center" vertical="center" shrinkToFit="1"/>
    </xf>
    <xf numFmtId="0" fontId="25" fillId="6" borderId="3" xfId="0" applyFont="1" applyFill="1" applyBorder="1" applyAlignment="1">
      <alignment horizontal="center" vertical="center"/>
    </xf>
    <xf numFmtId="0" fontId="25" fillId="6" borderId="5" xfId="0" applyFont="1" applyFill="1" applyBorder="1" applyAlignment="1">
      <alignment horizontal="center" vertical="center"/>
    </xf>
    <xf numFmtId="0" fontId="25" fillId="6" borderId="4"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38" fontId="43" fillId="0" borderId="30" xfId="2" applyFont="1" applyBorder="1" applyAlignment="1" applyProtection="1">
      <alignment horizontal="center" vertical="center"/>
    </xf>
    <xf numFmtId="38" fontId="43" fillId="0" borderId="70" xfId="2" applyFont="1" applyBorder="1" applyAlignment="1" applyProtection="1">
      <alignment horizontal="center" vertical="center"/>
    </xf>
    <xf numFmtId="38" fontId="43" fillId="0" borderId="68" xfId="2" applyFont="1" applyBorder="1" applyAlignment="1" applyProtection="1">
      <alignment horizontal="center" vertical="center"/>
    </xf>
    <xf numFmtId="0" fontId="5" fillId="10" borderId="54"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74" xfId="0" applyFont="1" applyFill="1" applyBorder="1" applyAlignment="1">
      <alignment horizontal="center" vertical="center"/>
    </xf>
    <xf numFmtId="0" fontId="25" fillId="16" borderId="2" xfId="0" applyFont="1" applyFill="1" applyBorder="1" applyAlignment="1">
      <alignment horizontal="left" vertical="center" wrapText="1"/>
    </xf>
    <xf numFmtId="0" fontId="25" fillId="16" borderId="3" xfId="0" applyFont="1" applyFill="1" applyBorder="1" applyAlignment="1">
      <alignment horizontal="left" vertical="center" wrapText="1"/>
    </xf>
    <xf numFmtId="0" fontId="25" fillId="10" borderId="12" xfId="0" applyFont="1" applyFill="1" applyBorder="1" applyAlignment="1">
      <alignment horizontal="center" vertical="center"/>
    </xf>
    <xf numFmtId="0" fontId="43" fillId="7" borderId="71" xfId="0" applyFont="1" applyFill="1" applyBorder="1" applyAlignment="1" applyProtection="1">
      <alignment horizontal="center" vertical="center"/>
      <protection hidden="1"/>
    </xf>
    <xf numFmtId="0" fontId="43" fillId="7" borderId="67" xfId="0" applyFont="1" applyFill="1" applyBorder="1" applyAlignment="1" applyProtection="1">
      <alignment horizontal="center" vertical="center"/>
      <protection hidden="1"/>
    </xf>
    <xf numFmtId="0" fontId="43" fillId="23" borderId="72" xfId="0" applyFont="1" applyFill="1" applyBorder="1" applyAlignment="1" applyProtection="1">
      <alignment horizontal="center" vertical="center"/>
      <protection hidden="1"/>
    </xf>
    <xf numFmtId="0" fontId="43" fillId="23" borderId="66" xfId="0" applyFont="1" applyFill="1" applyBorder="1" applyAlignment="1" applyProtection="1">
      <alignment horizontal="center" vertical="center"/>
      <protection hidden="1"/>
    </xf>
    <xf numFmtId="0" fontId="43" fillId="23" borderId="73" xfId="0" applyFont="1" applyFill="1" applyBorder="1" applyAlignment="1" applyProtection="1">
      <alignment horizontal="center" vertical="center"/>
      <protection hidden="1"/>
    </xf>
    <xf numFmtId="0" fontId="43" fillId="23" borderId="42" xfId="0" applyFont="1" applyFill="1" applyBorder="1" applyAlignment="1" applyProtection="1">
      <alignment horizontal="center" vertical="center"/>
      <protection hidden="1"/>
    </xf>
    <xf numFmtId="0" fontId="43" fillId="23" borderId="71" xfId="0" applyFont="1" applyFill="1" applyBorder="1" applyAlignment="1" applyProtection="1">
      <alignment horizontal="center" vertical="center"/>
      <protection hidden="1"/>
    </xf>
    <xf numFmtId="0" fontId="43" fillId="23" borderId="67" xfId="0" applyFont="1" applyFill="1" applyBorder="1" applyAlignment="1" applyProtection="1">
      <alignment horizontal="center" vertical="center"/>
      <protection hidden="1"/>
    </xf>
    <xf numFmtId="0" fontId="43" fillId="22" borderId="72" xfId="0" applyFont="1" applyFill="1" applyBorder="1" applyAlignment="1" applyProtection="1">
      <alignment horizontal="center" vertical="center"/>
      <protection hidden="1"/>
    </xf>
    <xf numFmtId="0" fontId="43" fillId="22" borderId="66" xfId="0" applyFont="1" applyFill="1" applyBorder="1" applyAlignment="1" applyProtection="1">
      <alignment horizontal="center" vertical="center"/>
      <protection hidden="1"/>
    </xf>
    <xf numFmtId="0" fontId="25" fillId="7" borderId="32" xfId="0" applyFont="1" applyFill="1" applyBorder="1" applyAlignment="1" applyProtection="1">
      <alignment horizontal="center" vertical="center"/>
      <protection hidden="1"/>
    </xf>
    <xf numFmtId="0" fontId="25" fillId="7" borderId="61" xfId="0" applyFont="1" applyFill="1" applyBorder="1" applyAlignment="1" applyProtection="1">
      <alignment horizontal="center" vertical="center"/>
      <protection hidden="1"/>
    </xf>
    <xf numFmtId="0" fontId="53" fillId="0" borderId="0" xfId="0" applyFont="1" applyAlignment="1" applyProtection="1">
      <alignment horizontal="center" vertical="center"/>
      <protection hidden="1"/>
    </xf>
    <xf numFmtId="0" fontId="43" fillId="22" borderId="73" xfId="0" applyFont="1" applyFill="1" applyBorder="1" applyAlignment="1" applyProtection="1">
      <alignment horizontal="center" vertical="center"/>
      <protection hidden="1"/>
    </xf>
    <xf numFmtId="0" fontId="43" fillId="22" borderId="42" xfId="0" applyFont="1" applyFill="1" applyBorder="1" applyAlignment="1" applyProtection="1">
      <alignment horizontal="center" vertical="center"/>
      <protection hidden="1"/>
    </xf>
    <xf numFmtId="0" fontId="43" fillId="7" borderId="72" xfId="0" applyFont="1" applyFill="1" applyBorder="1" applyAlignment="1" applyProtection="1">
      <alignment horizontal="center" vertical="center"/>
      <protection hidden="1"/>
    </xf>
    <xf numFmtId="0" fontId="43" fillId="7" borderId="66" xfId="0" applyFont="1" applyFill="1" applyBorder="1" applyAlignment="1" applyProtection="1">
      <alignment horizontal="center" vertical="center"/>
      <protection hidden="1"/>
    </xf>
    <xf numFmtId="0" fontId="43" fillId="7" borderId="73" xfId="0" applyFont="1" applyFill="1" applyBorder="1" applyAlignment="1" applyProtection="1">
      <alignment horizontal="center" vertical="center"/>
      <protection hidden="1"/>
    </xf>
    <xf numFmtId="0" fontId="43" fillId="7" borderId="42" xfId="0" applyFont="1" applyFill="1" applyBorder="1" applyAlignment="1" applyProtection="1">
      <alignment horizontal="center" vertical="center"/>
      <protection hidden="1"/>
    </xf>
    <xf numFmtId="0" fontId="43" fillId="20" borderId="72" xfId="0" applyFont="1" applyFill="1" applyBorder="1" applyAlignment="1" applyProtection="1">
      <alignment horizontal="center" vertical="center" wrapText="1" shrinkToFit="1"/>
      <protection hidden="1"/>
    </xf>
    <xf numFmtId="0" fontId="43" fillId="20" borderId="66" xfId="0" applyFont="1" applyFill="1" applyBorder="1" applyAlignment="1" applyProtection="1">
      <alignment horizontal="center" vertical="center" wrapText="1" shrinkToFit="1"/>
      <protection hidden="1"/>
    </xf>
    <xf numFmtId="0" fontId="43" fillId="7" borderId="54" xfId="0" applyFont="1" applyFill="1" applyBorder="1" applyAlignment="1" applyProtection="1">
      <alignment horizontal="center" vertical="center"/>
      <protection hidden="1"/>
    </xf>
    <xf numFmtId="0" fontId="43" fillId="7" borderId="63" xfId="0" applyFont="1" applyFill="1" applyBorder="1" applyAlignment="1" applyProtection="1">
      <alignment horizontal="center" vertical="center"/>
      <protection hidden="1"/>
    </xf>
    <xf numFmtId="0" fontId="43" fillId="7" borderId="74" xfId="0" applyFont="1" applyFill="1" applyBorder="1" applyAlignment="1" applyProtection="1">
      <alignment horizontal="center" vertical="center"/>
      <protection hidden="1"/>
    </xf>
    <xf numFmtId="0" fontId="43" fillId="20" borderId="54" xfId="0" applyFont="1" applyFill="1" applyBorder="1" applyAlignment="1" applyProtection="1">
      <alignment horizontal="center" vertical="center"/>
      <protection hidden="1"/>
    </xf>
    <xf numFmtId="0" fontId="43" fillId="20" borderId="63" xfId="0" applyFont="1" applyFill="1" applyBorder="1" applyAlignment="1" applyProtection="1">
      <alignment horizontal="center" vertical="center"/>
      <protection hidden="1"/>
    </xf>
    <xf numFmtId="0" fontId="43" fillId="20" borderId="74" xfId="0" applyFont="1" applyFill="1" applyBorder="1" applyAlignment="1" applyProtection="1">
      <alignment horizontal="center" vertical="center"/>
      <protection hidden="1"/>
    </xf>
    <xf numFmtId="0" fontId="43" fillId="22" borderId="63" xfId="0" applyFont="1" applyFill="1" applyBorder="1" applyAlignment="1" applyProtection="1">
      <alignment horizontal="center" vertical="center" wrapText="1"/>
      <protection hidden="1"/>
    </xf>
    <xf numFmtId="0" fontId="43" fillId="22" borderId="63" xfId="0" applyFont="1" applyFill="1" applyBorder="1" applyAlignment="1" applyProtection="1">
      <alignment horizontal="center" vertical="center"/>
      <protection hidden="1"/>
    </xf>
    <xf numFmtId="0" fontId="43" fillId="22" borderId="74" xfId="0" applyFont="1" applyFill="1" applyBorder="1" applyAlignment="1" applyProtection="1">
      <alignment horizontal="center" vertical="center"/>
      <protection hidden="1"/>
    </xf>
    <xf numFmtId="0" fontId="4" fillId="6" borderId="32" xfId="0" applyFont="1" applyFill="1" applyBorder="1" applyAlignment="1" applyProtection="1">
      <alignment horizontal="center" vertical="center"/>
      <protection hidden="1"/>
    </xf>
    <xf numFmtId="0" fontId="4" fillId="6" borderId="61" xfId="0" applyFont="1" applyFill="1" applyBorder="1" applyAlignment="1" applyProtection="1">
      <alignment horizontal="center" vertical="center"/>
      <protection hidden="1"/>
    </xf>
    <xf numFmtId="38" fontId="43" fillId="26" borderId="21" xfId="2" applyFont="1" applyFill="1" applyBorder="1" applyAlignment="1" applyProtection="1">
      <alignment horizontal="center" vertical="center" shrinkToFit="1"/>
      <protection hidden="1"/>
    </xf>
    <xf numFmtId="38" fontId="43" fillId="26" borderId="22" xfId="2" applyFont="1" applyFill="1" applyBorder="1" applyAlignment="1" applyProtection="1">
      <alignment horizontal="center" vertical="center" shrinkToFit="1"/>
      <protection hidden="1"/>
    </xf>
    <xf numFmtId="38" fontId="43" fillId="26" borderId="25" xfId="2" applyFont="1" applyFill="1" applyBorder="1" applyAlignment="1" applyProtection="1">
      <alignment horizontal="center" vertical="center" shrinkToFit="1"/>
      <protection hidden="1"/>
    </xf>
    <xf numFmtId="38" fontId="43" fillId="26" borderId="27" xfId="2" applyFont="1" applyFill="1" applyBorder="1" applyAlignment="1" applyProtection="1">
      <alignment horizontal="center" vertical="center" shrinkToFit="1"/>
      <protection hidden="1"/>
    </xf>
    <xf numFmtId="0" fontId="43" fillId="10" borderId="30" xfId="0" applyFont="1" applyFill="1" applyBorder="1" applyAlignment="1" applyProtection="1">
      <alignment horizontal="center" vertical="center" wrapText="1"/>
      <protection hidden="1"/>
    </xf>
    <xf numFmtId="0" fontId="43" fillId="10" borderId="68" xfId="0" applyFont="1" applyFill="1" applyBorder="1" applyAlignment="1" applyProtection="1">
      <alignment horizontal="center" vertical="center"/>
      <protection hidden="1"/>
    </xf>
    <xf numFmtId="0" fontId="43" fillId="20" borderId="73" xfId="0" applyFont="1" applyFill="1" applyBorder="1" applyAlignment="1" applyProtection="1">
      <alignment horizontal="center" vertical="center" wrapText="1" shrinkToFit="1"/>
      <protection hidden="1"/>
    </xf>
    <xf numFmtId="0" fontId="43" fillId="20" borderId="42" xfId="0" applyFont="1" applyFill="1" applyBorder="1" applyAlignment="1" applyProtection="1">
      <alignment horizontal="center" vertical="center" wrapText="1" shrinkToFit="1"/>
      <protection hidden="1"/>
    </xf>
    <xf numFmtId="0" fontId="43" fillId="20" borderId="71" xfId="0" applyFont="1" applyFill="1" applyBorder="1" applyAlignment="1" applyProtection="1">
      <alignment horizontal="center" vertical="center" wrapText="1" shrinkToFit="1"/>
      <protection hidden="1"/>
    </xf>
    <xf numFmtId="0" fontId="43" fillId="20" borderId="67" xfId="0" applyFont="1" applyFill="1" applyBorder="1" applyAlignment="1" applyProtection="1">
      <alignment horizontal="center" vertical="center" wrapText="1" shrinkToFit="1"/>
      <protection hidden="1"/>
    </xf>
    <xf numFmtId="0" fontId="43" fillId="20" borderId="42" xfId="0" applyFont="1" applyFill="1" applyBorder="1" applyAlignment="1" applyProtection="1">
      <alignment horizontal="center" vertical="center" shrinkToFit="1"/>
      <protection hidden="1"/>
    </xf>
    <xf numFmtId="0" fontId="43" fillId="22" borderId="76" xfId="0" applyFont="1" applyFill="1" applyBorder="1" applyAlignment="1" applyProtection="1">
      <alignment horizontal="center" vertical="center"/>
      <protection hidden="1"/>
    </xf>
    <xf numFmtId="0" fontId="43" fillId="22" borderId="77" xfId="0" applyFont="1" applyFill="1" applyBorder="1" applyAlignment="1" applyProtection="1">
      <alignment horizontal="center" vertical="center"/>
      <protection hidden="1"/>
    </xf>
    <xf numFmtId="180" fontId="78" fillId="6" borderId="0" xfId="0" applyNumberFormat="1" applyFont="1" applyFill="1" applyAlignment="1">
      <alignment horizontal="center" vertical="center"/>
    </xf>
  </cellXfs>
  <cellStyles count="5">
    <cellStyle name="パーセント" xfId="1" builtinId="5"/>
    <cellStyle name="ハイパーリンク" xfId="3" builtinId="8"/>
    <cellStyle name="桁区切り" xfId="2" builtinId="6"/>
    <cellStyle name="標準" xfId="0" builtinId="0"/>
    <cellStyle name="標準_退職金制度診断システム1_04" xfId="4" xr:uid="{E6293051-C267-421F-83D0-55C61D4AF87F}"/>
  </cellStyles>
  <dxfs count="20">
    <dxf>
      <fill>
        <patternFill>
          <bgColor theme="0"/>
        </patternFill>
      </fill>
    </dxf>
    <dxf>
      <fill>
        <patternFill>
          <bgColor theme="0"/>
        </patternFill>
      </fill>
    </dxf>
    <dxf>
      <fill>
        <patternFill>
          <bgColor rgb="FFFFDBB7"/>
        </patternFill>
      </fill>
    </dxf>
    <dxf>
      <fill>
        <patternFill>
          <bgColor rgb="FFA7FFDB"/>
        </patternFill>
      </fill>
    </dxf>
    <dxf>
      <fill>
        <patternFill>
          <bgColor rgb="FFA7FFDB"/>
        </patternFill>
      </fill>
    </dxf>
    <dxf>
      <fill>
        <patternFill>
          <bgColor rgb="FFFFDBB7"/>
        </patternFill>
      </fill>
    </dxf>
    <dxf>
      <fill>
        <patternFill>
          <bgColor rgb="FFA7FFDB"/>
        </patternFill>
      </fill>
    </dxf>
    <dxf>
      <fill>
        <patternFill>
          <bgColor theme="0"/>
        </patternFill>
      </fill>
    </dxf>
    <dxf>
      <fill>
        <patternFill>
          <bgColor theme="0"/>
        </patternFill>
      </fill>
    </dxf>
    <dxf>
      <fill>
        <patternFill>
          <bgColor rgb="FFA7FFDB"/>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FF9900"/>
      <color rgb="FF336600"/>
      <color rgb="FF008000"/>
      <color rgb="FFFFFFCC"/>
      <color rgb="FF99FFCC"/>
      <color rgb="FFFF6600"/>
      <color rgb="FF3333FF"/>
      <color rgb="FFFFFFCD"/>
      <color rgb="FFFEF6F0"/>
      <color rgb="FFF5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3-2.&#25152;&#24471;&#31639;&#20986;&#21442;&#29031;&#34920;'!A1"/><Relationship Id="rId13" Type="http://schemas.openxmlformats.org/officeDocument/2006/relationships/image" Target="../media/image5.emf"/><Relationship Id="rId18" Type="http://schemas.openxmlformats.org/officeDocument/2006/relationships/image" Target="../media/image9.png"/><Relationship Id="rId26" Type="http://schemas.openxmlformats.org/officeDocument/2006/relationships/image" Target="../media/image17.png"/><Relationship Id="rId3" Type="http://schemas.openxmlformats.org/officeDocument/2006/relationships/hyperlink" Target="#'&#65301;.&#20351;&#29992;&#19978;&#12398;&#27880;&#24847;'!A1"/><Relationship Id="rId21" Type="http://schemas.openxmlformats.org/officeDocument/2006/relationships/image" Target="../media/image12.png"/><Relationship Id="rId7" Type="http://schemas.openxmlformats.org/officeDocument/2006/relationships/hyperlink" Target="#'3-1.&#27161;&#28310;&#22577;&#37228;&#26376;&#38989;&#12539;&#20445;&#38522;&#26009;&#34920;'!A1"/><Relationship Id="rId12" Type="http://schemas.openxmlformats.org/officeDocument/2006/relationships/image" Target="../media/image4.emf"/><Relationship Id="rId17" Type="http://schemas.openxmlformats.org/officeDocument/2006/relationships/hyperlink" Target="#'&#65300;-0.&#35373;&#23450; &#20181;&#27096;&#27010;&#35201;'!A1"/><Relationship Id="rId25" Type="http://schemas.openxmlformats.org/officeDocument/2006/relationships/image" Target="../media/image16.png"/><Relationship Id="rId2" Type="http://schemas.openxmlformats.org/officeDocument/2006/relationships/hyperlink" Target="#'1-1.&#24467;&#26989;&#21729;&#12487;&#12540;&#12479;&#32102;&#19982;&#25913;&#23450;&#26696;&#20837;&#21147;&#30011;&#38754;'!A1"/><Relationship Id="rId16" Type="http://schemas.openxmlformats.org/officeDocument/2006/relationships/image" Target="../media/image8.emf"/><Relationship Id="rId20" Type="http://schemas.openxmlformats.org/officeDocument/2006/relationships/image" Target="../media/image11.png"/><Relationship Id="rId29"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hyperlink" Target="#'4-2.&#21172;&#20685;&#26178;&#38291;&#24310;&#38263;&#12513;&#12491;&#12517;&#12540;&#12362;&#30693;&#12425;&#12379;'!A1"/><Relationship Id="rId11" Type="http://schemas.openxmlformats.org/officeDocument/2006/relationships/image" Target="../media/image3.emf"/><Relationship Id="rId24" Type="http://schemas.openxmlformats.org/officeDocument/2006/relationships/image" Target="../media/image15.emf"/><Relationship Id="rId32" Type="http://schemas.openxmlformats.org/officeDocument/2006/relationships/image" Target="../media/image23.png"/><Relationship Id="rId5" Type="http://schemas.openxmlformats.org/officeDocument/2006/relationships/hyperlink" Target="#'4-1.&#21172;&#20685;&#26178;&#38291;&#24310;&#38263;&#12513;&#12491;&#12517;&#12540;&#12513;&#12452;&#12531;-1'!A1"/><Relationship Id="rId15" Type="http://schemas.openxmlformats.org/officeDocument/2006/relationships/image" Target="../media/image7.png"/><Relationship Id="rId23" Type="http://schemas.openxmlformats.org/officeDocument/2006/relationships/image" Target="../media/image14.emf"/><Relationship Id="rId28" Type="http://schemas.openxmlformats.org/officeDocument/2006/relationships/image" Target="../media/image19.png"/><Relationship Id="rId10" Type="http://schemas.openxmlformats.org/officeDocument/2006/relationships/image" Target="../media/image2.emf"/><Relationship Id="rId19" Type="http://schemas.openxmlformats.org/officeDocument/2006/relationships/image" Target="../media/image10.png"/><Relationship Id="rId31" Type="http://schemas.openxmlformats.org/officeDocument/2006/relationships/image" Target="../media/image22.emf"/><Relationship Id="rId4" Type="http://schemas.openxmlformats.org/officeDocument/2006/relationships/hyperlink" Target="#'2-2.&#20445;&#38522;&#26009;&#12539;&#22320;&#26041;&#31246;&#31561;&#20837;&#21147;&#30011;&#38754;'!A1"/><Relationship Id="rId9" Type="http://schemas.openxmlformats.org/officeDocument/2006/relationships/hyperlink" Target="#'3-3.&#22269;&#27665;&#20581;&#24247;&#20445;&#38522;&#26009;&#31777;&#26131;&#35336;&#31639;'!A1"/><Relationship Id="rId14" Type="http://schemas.openxmlformats.org/officeDocument/2006/relationships/image" Target="../media/image6.png"/><Relationship Id="rId22" Type="http://schemas.openxmlformats.org/officeDocument/2006/relationships/image" Target="../media/image13.png"/><Relationship Id="rId27" Type="http://schemas.openxmlformats.org/officeDocument/2006/relationships/image" Target="../media/image18.png"/><Relationship Id="rId30" Type="http://schemas.openxmlformats.org/officeDocument/2006/relationships/image" Target="../media/image21.png"/></Relationships>
</file>

<file path=xl/drawings/_rels/drawing10.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2.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3.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4.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5.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7.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hyperlink" Target="#'&#12513;&#12491;&#12517;&#12540;&#65325;&#65313;&#65328;&#65286;&#25805;&#20316;&#25163;&#38918;'!A1"/></Relationships>
</file>

<file path=xl/drawings/_rels/drawing9.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2</xdr:col>
      <xdr:colOff>104775</xdr:colOff>
      <xdr:row>59</xdr:row>
      <xdr:rowOff>190500</xdr:rowOff>
    </xdr:from>
    <xdr:to>
      <xdr:col>28</xdr:col>
      <xdr:colOff>28575</xdr:colOff>
      <xdr:row>66</xdr:row>
      <xdr:rowOff>95251</xdr:rowOff>
    </xdr:to>
    <xdr:pic>
      <xdr:nvPicPr>
        <xdr:cNvPr id="67" name="図 66">
          <a:extLst>
            <a:ext uri="{FF2B5EF4-FFF2-40B4-BE49-F238E27FC236}">
              <a16:creationId xmlns:a16="http://schemas.microsoft.com/office/drawing/2014/main" id="{A7C71469-31F0-4EF6-9EDC-59ABE12AD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13325475"/>
          <a:ext cx="1777365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209637</xdr:colOff>
      <xdr:row>5</xdr:row>
      <xdr:rowOff>24848</xdr:rowOff>
    </xdr:from>
    <xdr:to>
      <xdr:col>13</xdr:col>
      <xdr:colOff>248478</xdr:colOff>
      <xdr:row>15</xdr:row>
      <xdr:rowOff>226676</xdr:rowOff>
    </xdr:to>
    <xdr:grpSp>
      <xdr:nvGrpSpPr>
        <xdr:cNvPr id="126" name="グループ化 125">
          <a:hlinkClick xmlns:r="http://schemas.openxmlformats.org/officeDocument/2006/relationships" r:id="rId2"/>
          <a:extLst>
            <a:ext uri="{FF2B5EF4-FFF2-40B4-BE49-F238E27FC236}">
              <a16:creationId xmlns:a16="http://schemas.microsoft.com/office/drawing/2014/main" id="{5D454A32-158A-0C31-A31D-3FB5A2836B1C}"/>
            </a:ext>
          </a:extLst>
        </xdr:cNvPr>
        <xdr:cNvGrpSpPr/>
      </xdr:nvGrpSpPr>
      <xdr:grpSpPr>
        <a:xfrm>
          <a:off x="342987" y="1644098"/>
          <a:ext cx="7849341" cy="3116478"/>
          <a:chOff x="588817" y="1056409"/>
          <a:chExt cx="7836077" cy="3111284"/>
        </a:xfrm>
      </xdr:grpSpPr>
      <xdr:grpSp>
        <xdr:nvGrpSpPr>
          <xdr:cNvPr id="194" name="グループ化 193">
            <a:extLst>
              <a:ext uri="{FF2B5EF4-FFF2-40B4-BE49-F238E27FC236}">
                <a16:creationId xmlns:a16="http://schemas.microsoft.com/office/drawing/2014/main" id="{6B5C012B-F32A-3D79-623B-1C33B92D21A7}"/>
              </a:ext>
            </a:extLst>
          </xdr:cNvPr>
          <xdr:cNvGrpSpPr/>
        </xdr:nvGrpSpPr>
        <xdr:grpSpPr>
          <a:xfrm>
            <a:off x="588817" y="1194203"/>
            <a:ext cx="7836077" cy="2973490"/>
            <a:chOff x="770323" y="1143001"/>
            <a:chExt cx="7810925" cy="2973490"/>
          </a:xfrm>
        </xdr:grpSpPr>
        <xdr:grpSp>
          <xdr:nvGrpSpPr>
            <xdr:cNvPr id="149" name="グループ化 148">
              <a:extLst>
                <a:ext uri="{FF2B5EF4-FFF2-40B4-BE49-F238E27FC236}">
                  <a16:creationId xmlns:a16="http://schemas.microsoft.com/office/drawing/2014/main" id="{FF1685A0-5FA8-4071-AAFB-DA32C9C7FB26}"/>
                </a:ext>
              </a:extLst>
            </xdr:cNvPr>
            <xdr:cNvGrpSpPr/>
          </xdr:nvGrpSpPr>
          <xdr:grpSpPr>
            <a:xfrm>
              <a:off x="770323" y="1143001"/>
              <a:ext cx="7810925" cy="2952751"/>
              <a:chOff x="268676" y="1019176"/>
              <a:chExt cx="7810925" cy="2952751"/>
            </a:xfrm>
          </xdr:grpSpPr>
          <xdr:sp macro="" textlink="">
            <xdr:nvSpPr>
              <xdr:cNvPr id="150" name="四角形: 角を丸くする 149">
                <a:hlinkClick xmlns:r="http://schemas.openxmlformats.org/officeDocument/2006/relationships" r:id="rId3"/>
                <a:extLst>
                  <a:ext uri="{FF2B5EF4-FFF2-40B4-BE49-F238E27FC236}">
                    <a16:creationId xmlns:a16="http://schemas.microsoft.com/office/drawing/2014/main" id="{5760E56C-7FCE-52E7-3E0A-BD5C12460FB5}"/>
                  </a:ext>
                </a:extLst>
              </xdr:cNvPr>
              <xdr:cNvSpPr/>
            </xdr:nvSpPr>
            <xdr:spPr>
              <a:xfrm>
                <a:off x="525049" y="1143000"/>
                <a:ext cx="1650684" cy="410400"/>
              </a:xfrm>
              <a:prstGeom prst="roundRect">
                <a:avLst/>
              </a:prstGeom>
              <a:solidFill>
                <a:srgbClr val="FF00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５．使用上の注意</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51" name="矢印: 折線 150">
                <a:extLst>
                  <a:ext uri="{FF2B5EF4-FFF2-40B4-BE49-F238E27FC236}">
                    <a16:creationId xmlns:a16="http://schemas.microsoft.com/office/drawing/2014/main" id="{6680616B-6A71-37DE-8DAA-9F5A13155965}"/>
                  </a:ext>
                </a:extLst>
              </xdr:cNvPr>
              <xdr:cNvSpPr/>
            </xdr:nvSpPr>
            <xdr:spPr>
              <a:xfrm rot="14127606" flipH="1">
                <a:off x="281764" y="1053970"/>
                <a:ext cx="221581" cy="247757"/>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grpSp>
            <xdr:nvGrpSpPr>
              <xdr:cNvPr id="152" name="グループ化 151">
                <a:extLst>
                  <a:ext uri="{FF2B5EF4-FFF2-40B4-BE49-F238E27FC236}">
                    <a16:creationId xmlns:a16="http://schemas.microsoft.com/office/drawing/2014/main" id="{0B6F2155-3983-F8A7-1B23-389B925DBD33}"/>
                  </a:ext>
                </a:extLst>
              </xdr:cNvPr>
              <xdr:cNvGrpSpPr/>
            </xdr:nvGrpSpPr>
            <xdr:grpSpPr>
              <a:xfrm>
                <a:off x="2419351" y="1019176"/>
                <a:ext cx="5660250" cy="2952751"/>
                <a:chOff x="2419351" y="1019176"/>
                <a:chExt cx="5660250" cy="2952751"/>
              </a:xfrm>
            </xdr:grpSpPr>
            <xdr:sp macro="" textlink="">
              <xdr:nvSpPr>
                <xdr:cNvPr id="154" name="四角形: 角を丸くする 153">
                  <a:hlinkClick xmlns:r="http://schemas.openxmlformats.org/officeDocument/2006/relationships" r:id="rId4"/>
                  <a:extLst>
                    <a:ext uri="{FF2B5EF4-FFF2-40B4-BE49-F238E27FC236}">
                      <a16:creationId xmlns:a16="http://schemas.microsoft.com/office/drawing/2014/main" id="{C9F76492-5077-39B4-BE94-3D2951786FF9}"/>
                    </a:ext>
                  </a:extLst>
                </xdr:cNvPr>
                <xdr:cNvSpPr/>
              </xdr:nvSpPr>
              <xdr:spPr>
                <a:xfrm>
                  <a:off x="2666999" y="1748271"/>
                  <a:ext cx="2520000" cy="410400"/>
                </a:xfrm>
                <a:prstGeom prst="roundRect">
                  <a:avLst/>
                </a:prstGeom>
                <a:solidFill>
                  <a:srgbClr val="0000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２．保険料・地方税等入力画面</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63" name="四角形: 角を丸くする 162">
                  <a:extLst>
                    <a:ext uri="{FF2B5EF4-FFF2-40B4-BE49-F238E27FC236}">
                      <a16:creationId xmlns:a16="http://schemas.microsoft.com/office/drawing/2014/main" id="{CA0313FC-BAEF-5D5B-1B87-21557C69818E}"/>
                    </a:ext>
                  </a:extLst>
                </xdr:cNvPr>
                <xdr:cNvSpPr/>
              </xdr:nvSpPr>
              <xdr:spPr>
                <a:xfrm>
                  <a:off x="2657475" y="1143000"/>
                  <a:ext cx="2520000" cy="410400"/>
                </a:xfrm>
                <a:prstGeom prst="roundRect">
                  <a:avLst/>
                </a:prstGeom>
                <a:solidFill>
                  <a:srgbClr val="0000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１．従業員データ入力画面</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xdr:txBody>
            </xdr:sp>
            <xdr:grpSp>
              <xdr:nvGrpSpPr>
                <xdr:cNvPr id="164" name="グループ化 163">
                  <a:extLst>
                    <a:ext uri="{FF2B5EF4-FFF2-40B4-BE49-F238E27FC236}">
                      <a16:creationId xmlns:a16="http://schemas.microsoft.com/office/drawing/2014/main" id="{2C37BB70-4FED-5D3C-C32A-F7ED81DD110F}"/>
                    </a:ext>
                  </a:extLst>
                </xdr:cNvPr>
                <xdr:cNvGrpSpPr/>
              </xdr:nvGrpSpPr>
              <xdr:grpSpPr>
                <a:xfrm>
                  <a:off x="2419351" y="1019927"/>
                  <a:ext cx="228598" cy="2952000"/>
                  <a:chOff x="2409826" y="1019927"/>
                  <a:chExt cx="228598" cy="2952000"/>
                </a:xfrm>
              </xdr:grpSpPr>
              <xdr:sp macro="" textlink="">
                <xdr:nvSpPr>
                  <xdr:cNvPr id="176" name="矢印: 折線 175">
                    <a:extLst>
                      <a:ext uri="{FF2B5EF4-FFF2-40B4-BE49-F238E27FC236}">
                        <a16:creationId xmlns:a16="http://schemas.microsoft.com/office/drawing/2014/main" id="{1763721A-DA80-336C-0821-259171C0E511}"/>
                      </a:ext>
                    </a:extLst>
                  </xdr:cNvPr>
                  <xdr:cNvSpPr/>
                </xdr:nvSpPr>
                <xdr:spPr>
                  <a:xfrm rot="16200000" flipH="1">
                    <a:off x="1041826" y="2387927"/>
                    <a:ext cx="2952000" cy="216000"/>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77" name="正方形/長方形 176">
                    <a:extLst>
                      <a:ext uri="{FF2B5EF4-FFF2-40B4-BE49-F238E27FC236}">
                        <a16:creationId xmlns:a16="http://schemas.microsoft.com/office/drawing/2014/main" id="{6D415DFF-DDE3-62C2-A494-EEA1000CBAE5}"/>
                      </a:ext>
                    </a:extLst>
                  </xdr:cNvPr>
                  <xdr:cNvSpPr/>
                </xdr:nvSpPr>
                <xdr:spPr>
                  <a:xfrm>
                    <a:off x="2514599" y="13049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78" name="正方形/長方形 177">
                    <a:extLst>
                      <a:ext uri="{FF2B5EF4-FFF2-40B4-BE49-F238E27FC236}">
                        <a16:creationId xmlns:a16="http://schemas.microsoft.com/office/drawing/2014/main" id="{7932FF34-E14C-478A-092E-48F04CDAEEEA}"/>
                      </a:ext>
                    </a:extLst>
                  </xdr:cNvPr>
                  <xdr:cNvSpPr/>
                </xdr:nvSpPr>
                <xdr:spPr>
                  <a:xfrm>
                    <a:off x="2524124" y="19812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grpSp>
              <xdr:nvGrpSpPr>
                <xdr:cNvPr id="166" name="グループ化 165">
                  <a:extLst>
                    <a:ext uri="{FF2B5EF4-FFF2-40B4-BE49-F238E27FC236}">
                      <a16:creationId xmlns:a16="http://schemas.microsoft.com/office/drawing/2014/main" id="{98949297-859D-0804-F706-DCB652498D71}"/>
                    </a:ext>
                  </a:extLst>
                </xdr:cNvPr>
                <xdr:cNvGrpSpPr/>
              </xdr:nvGrpSpPr>
              <xdr:grpSpPr>
                <a:xfrm>
                  <a:off x="5339776" y="1019176"/>
                  <a:ext cx="228597" cy="1923488"/>
                  <a:chOff x="3006152" y="1000127"/>
                  <a:chExt cx="228597" cy="1923488"/>
                </a:xfrm>
              </xdr:grpSpPr>
              <xdr:sp macro="" textlink="">
                <xdr:nvSpPr>
                  <xdr:cNvPr id="118" name="矢印: 折線 117">
                    <a:extLst>
                      <a:ext uri="{FF2B5EF4-FFF2-40B4-BE49-F238E27FC236}">
                        <a16:creationId xmlns:a16="http://schemas.microsoft.com/office/drawing/2014/main" id="{9755CAD9-4E11-583C-C934-2887B5E66C0F}"/>
                      </a:ext>
                    </a:extLst>
                  </xdr:cNvPr>
                  <xdr:cNvSpPr/>
                </xdr:nvSpPr>
                <xdr:spPr>
                  <a:xfrm rot="16200000" flipH="1">
                    <a:off x="2155940" y="1850339"/>
                    <a:ext cx="1923488" cy="223063"/>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21" name="正方形/長方形 120">
                    <a:extLst>
                      <a:ext uri="{FF2B5EF4-FFF2-40B4-BE49-F238E27FC236}">
                        <a16:creationId xmlns:a16="http://schemas.microsoft.com/office/drawing/2014/main" id="{766B82CA-E2F6-AED4-10E3-56B459F337FD}"/>
                      </a:ext>
                    </a:extLst>
                  </xdr:cNvPr>
                  <xdr:cNvSpPr/>
                </xdr:nvSpPr>
                <xdr:spPr>
                  <a:xfrm>
                    <a:off x="3120449" y="2658950"/>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23" name="正方形/長方形 122">
                    <a:extLst>
                      <a:ext uri="{FF2B5EF4-FFF2-40B4-BE49-F238E27FC236}">
                        <a16:creationId xmlns:a16="http://schemas.microsoft.com/office/drawing/2014/main" id="{5A69417F-96CD-9CF7-3949-9C5539C92FA6}"/>
                      </a:ext>
                    </a:extLst>
                  </xdr:cNvPr>
                  <xdr:cNvSpPr/>
                </xdr:nvSpPr>
                <xdr:spPr>
                  <a:xfrm>
                    <a:off x="3119590" y="129453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24" name="正方形/長方形 123">
                    <a:extLst>
                      <a:ext uri="{FF2B5EF4-FFF2-40B4-BE49-F238E27FC236}">
                        <a16:creationId xmlns:a16="http://schemas.microsoft.com/office/drawing/2014/main" id="{05D304A5-CC15-6D56-E02B-4BCF1C91C85B}"/>
                      </a:ext>
                    </a:extLst>
                  </xdr:cNvPr>
                  <xdr:cNvSpPr/>
                </xdr:nvSpPr>
                <xdr:spPr>
                  <a:xfrm>
                    <a:off x="3104863" y="1950782"/>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sp macro="" textlink="">
              <xdr:nvSpPr>
                <xdr:cNvPr id="117" name="四角形: 角を丸くする 116">
                  <a:hlinkClick xmlns:r="http://schemas.openxmlformats.org/officeDocument/2006/relationships" r:id="rId5"/>
                  <a:extLst>
                    <a:ext uri="{FF2B5EF4-FFF2-40B4-BE49-F238E27FC236}">
                      <a16:creationId xmlns:a16="http://schemas.microsoft.com/office/drawing/2014/main" id="{29175F60-DFCB-E014-6623-BED78D4F9457}"/>
                    </a:ext>
                  </a:extLst>
                </xdr:cNvPr>
                <xdr:cNvSpPr/>
              </xdr:nvSpPr>
              <xdr:spPr>
                <a:xfrm>
                  <a:off x="5568376" y="1780513"/>
                  <a:ext cx="2511225" cy="426631"/>
                </a:xfrm>
                <a:prstGeom prst="roundRect">
                  <a:avLst/>
                </a:prstGeom>
                <a:solidFill>
                  <a:srgbClr val="3366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１．労働時間延長メニュー１</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51" name="四角形: 角を丸くする 50">
                  <a:hlinkClick xmlns:r="http://schemas.openxmlformats.org/officeDocument/2006/relationships" r:id="rId6"/>
                  <a:extLst>
                    <a:ext uri="{FF2B5EF4-FFF2-40B4-BE49-F238E27FC236}">
                      <a16:creationId xmlns:a16="http://schemas.microsoft.com/office/drawing/2014/main" id="{F286F01C-8250-BAAF-2BC9-491AB6A7714D}"/>
                    </a:ext>
                  </a:extLst>
                </xdr:cNvPr>
                <xdr:cNvSpPr/>
              </xdr:nvSpPr>
              <xdr:spPr>
                <a:xfrm>
                  <a:off x="5560152" y="2393991"/>
                  <a:ext cx="2174016" cy="801830"/>
                </a:xfrm>
                <a:prstGeom prst="roundRect">
                  <a:avLst/>
                </a:prstGeom>
                <a:solidFill>
                  <a:srgbClr val="3366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１．労働時間メニュー</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お知らせ</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grpSp>
        </xdr:grpSp>
        <xdr:sp macro="" textlink="">
          <xdr:nvSpPr>
            <xdr:cNvPr id="187" name="四角形: 角を丸くする 186">
              <a:hlinkClick xmlns:r="http://schemas.openxmlformats.org/officeDocument/2006/relationships" r:id="rId7"/>
              <a:extLst>
                <a:ext uri="{FF2B5EF4-FFF2-40B4-BE49-F238E27FC236}">
                  <a16:creationId xmlns:a16="http://schemas.microsoft.com/office/drawing/2014/main" id="{2C9975F7-F8FF-4660-BDDB-5E6BE5D8EE78}"/>
                </a:ext>
              </a:extLst>
            </xdr:cNvPr>
            <xdr:cNvSpPr/>
          </xdr:nvSpPr>
          <xdr:spPr>
            <a:xfrm>
              <a:off x="3169023" y="2528455"/>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１．標準報酬月額・保険料表</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88" name="四角形: 角を丸くする 187">
              <a:hlinkClick xmlns:r="http://schemas.openxmlformats.org/officeDocument/2006/relationships" r:id="rId8"/>
              <a:extLst>
                <a:ext uri="{FF2B5EF4-FFF2-40B4-BE49-F238E27FC236}">
                  <a16:creationId xmlns:a16="http://schemas.microsoft.com/office/drawing/2014/main" id="{71E7D615-CFA5-42FC-B593-BEB31B28D7CE}"/>
                </a:ext>
              </a:extLst>
            </xdr:cNvPr>
            <xdr:cNvSpPr/>
          </xdr:nvSpPr>
          <xdr:spPr>
            <a:xfrm>
              <a:off x="3177682" y="3108614"/>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２．所得算出の参照表</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89" name="四角形: 角を丸くする 188">
              <a:hlinkClick xmlns:r="http://schemas.openxmlformats.org/officeDocument/2006/relationships" r:id="rId9"/>
              <a:extLst>
                <a:ext uri="{FF2B5EF4-FFF2-40B4-BE49-F238E27FC236}">
                  <a16:creationId xmlns:a16="http://schemas.microsoft.com/office/drawing/2014/main" id="{5353B26F-20F3-4F3F-94E3-62162B7459EA}"/>
                </a:ext>
              </a:extLst>
            </xdr:cNvPr>
            <xdr:cNvSpPr/>
          </xdr:nvSpPr>
          <xdr:spPr>
            <a:xfrm>
              <a:off x="3160568" y="3706091"/>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３．国民健康保険料 簡易計算</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91" name="正方形/長方形 190">
              <a:extLst>
                <a:ext uri="{FF2B5EF4-FFF2-40B4-BE49-F238E27FC236}">
                  <a16:creationId xmlns:a16="http://schemas.microsoft.com/office/drawing/2014/main" id="{263AF277-32B3-4E71-8EAA-F2B0369E08EC}"/>
                </a:ext>
              </a:extLst>
            </xdr:cNvPr>
            <xdr:cNvSpPr/>
          </xdr:nvSpPr>
          <xdr:spPr>
            <a:xfrm>
              <a:off x="3030682" y="3870612"/>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92" name="正方形/長方形 191">
              <a:extLst>
                <a:ext uri="{FF2B5EF4-FFF2-40B4-BE49-F238E27FC236}">
                  <a16:creationId xmlns:a16="http://schemas.microsoft.com/office/drawing/2014/main" id="{5B5D078A-5440-43C7-AC06-386463BB0864}"/>
                </a:ext>
              </a:extLst>
            </xdr:cNvPr>
            <xdr:cNvSpPr/>
          </xdr:nvSpPr>
          <xdr:spPr>
            <a:xfrm>
              <a:off x="3048000" y="32766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93" name="正方形/長方形 192">
              <a:extLst>
                <a:ext uri="{FF2B5EF4-FFF2-40B4-BE49-F238E27FC236}">
                  <a16:creationId xmlns:a16="http://schemas.microsoft.com/office/drawing/2014/main" id="{7BC30917-212C-4666-9181-11028BE4D826}"/>
                </a:ext>
              </a:extLst>
            </xdr:cNvPr>
            <xdr:cNvSpPr/>
          </xdr:nvSpPr>
          <xdr:spPr>
            <a:xfrm>
              <a:off x="3046270" y="2713759"/>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sp macro="" textlink="">
        <xdr:nvSpPr>
          <xdr:cNvPr id="4097" name="Text Box 1">
            <a:extLst>
              <a:ext uri="{FF2B5EF4-FFF2-40B4-BE49-F238E27FC236}">
                <a16:creationId xmlns:a16="http://schemas.microsoft.com/office/drawing/2014/main" id="{C393B46D-CF8F-9972-015E-94C0AA5D5830}"/>
              </a:ext>
            </a:extLst>
          </xdr:cNvPr>
          <xdr:cNvSpPr txBox="1">
            <a:spLocks noChangeArrowheads="1"/>
          </xdr:cNvSpPr>
        </xdr:nvSpPr>
        <xdr:spPr bwMode="auto">
          <a:xfrm>
            <a:off x="3022023" y="1073728"/>
            <a:ext cx="2308672"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sp macro="" textlink="">
        <xdr:nvSpPr>
          <xdr:cNvPr id="120" name="Text Box 1">
            <a:extLst>
              <a:ext uri="{FF2B5EF4-FFF2-40B4-BE49-F238E27FC236}">
                <a16:creationId xmlns:a16="http://schemas.microsoft.com/office/drawing/2014/main" id="{A8815BC1-84E5-4B4B-B716-EC4CB2B07EDC}"/>
              </a:ext>
            </a:extLst>
          </xdr:cNvPr>
          <xdr:cNvSpPr txBox="1">
            <a:spLocks noChangeArrowheads="1"/>
          </xdr:cNvSpPr>
        </xdr:nvSpPr>
        <xdr:spPr bwMode="auto">
          <a:xfrm>
            <a:off x="5914159" y="1056409"/>
            <a:ext cx="2263199"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grpSp>
    <xdr:clientData/>
  </xdr:twoCellAnchor>
  <mc:AlternateContent xmlns:mc="http://schemas.openxmlformats.org/markup-compatibility/2006">
    <mc:Choice xmlns:a14="http://schemas.microsoft.com/office/drawing/2010/main" Requires="a14">
      <xdr:twoCellAnchor editAs="oneCell">
        <xdr:from>
          <xdr:col>2</xdr:col>
          <xdr:colOff>450273</xdr:colOff>
          <xdr:row>81</xdr:row>
          <xdr:rowOff>0</xdr:rowOff>
        </xdr:from>
        <xdr:to>
          <xdr:col>6</xdr:col>
          <xdr:colOff>303068</xdr:colOff>
          <xdr:row>83</xdr:row>
          <xdr:rowOff>221924</xdr:rowOff>
        </xdr:to>
        <xdr:pic>
          <xdr:nvPicPr>
            <xdr:cNvPr id="4096" name="図 4095">
              <a:extLst>
                <a:ext uri="{FF2B5EF4-FFF2-40B4-BE49-F238E27FC236}">
                  <a16:creationId xmlns:a16="http://schemas.microsoft.com/office/drawing/2014/main" id="{0F2B6A81-BBD2-D7E6-2C1C-687385D03068}"/>
                </a:ext>
              </a:extLst>
            </xdr:cNvPr>
            <xdr:cNvPicPr>
              <a:picLocks noChangeAspect="1" noChangeArrowheads="1"/>
              <a:extLst>
                <a:ext uri="{84589F7E-364E-4C9E-8A38-B11213B215E9}">
                  <a14:cameraTool cellRange="'2-2.保険料・地方税等入力画面'!$C$5:$E$6" spid="_x0000_s14361"/>
                </a:ext>
              </a:extLst>
            </xdr:cNvPicPr>
          </xdr:nvPicPr>
          <xdr:blipFill>
            <a:blip xmlns:r="http://schemas.openxmlformats.org/officeDocument/2006/relationships" r:embed="rId10"/>
            <a:srcRect/>
            <a:stretch>
              <a:fillRect/>
            </a:stretch>
          </xdr:blipFill>
          <xdr:spPr bwMode="auto">
            <a:xfrm>
              <a:off x="831273" y="10235045"/>
              <a:ext cx="2415886" cy="77610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9</xdr:col>
      <xdr:colOff>190502</xdr:colOff>
      <xdr:row>81</xdr:row>
      <xdr:rowOff>34636</xdr:rowOff>
    </xdr:from>
    <xdr:to>
      <xdr:col>14</xdr:col>
      <xdr:colOff>207821</xdr:colOff>
      <xdr:row>84</xdr:row>
      <xdr:rowOff>245216</xdr:rowOff>
    </xdr:to>
    <xdr:pic>
      <xdr:nvPicPr>
        <xdr:cNvPr id="4098" name="図 4097">
          <a:extLst>
            <a:ext uri="{FF2B5EF4-FFF2-40B4-BE49-F238E27FC236}">
              <a16:creationId xmlns:a16="http://schemas.microsoft.com/office/drawing/2014/main" id="{8BBEF34A-7AAC-568B-EF92-45FBD47B8AC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86797" y="9429750"/>
          <a:ext cx="3628160" cy="10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450274</xdr:colOff>
      <xdr:row>88</xdr:row>
      <xdr:rowOff>242456</xdr:rowOff>
    </xdr:from>
    <xdr:to>
      <xdr:col>23</xdr:col>
      <xdr:colOff>181842</xdr:colOff>
      <xdr:row>95</xdr:row>
      <xdr:rowOff>142054</xdr:rowOff>
    </xdr:to>
    <xdr:pic>
      <xdr:nvPicPr>
        <xdr:cNvPr id="4099" name="図 4098">
          <a:extLst>
            <a:ext uri="{FF2B5EF4-FFF2-40B4-BE49-F238E27FC236}">
              <a16:creationId xmlns:a16="http://schemas.microsoft.com/office/drawing/2014/main" id="{3690995C-45AA-576A-7D6F-04E1BA6CA5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1274" y="11369388"/>
          <a:ext cx="14114318" cy="1839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98</xdr:row>
      <xdr:rowOff>0</xdr:rowOff>
    </xdr:from>
    <xdr:to>
      <xdr:col>6</xdr:col>
      <xdr:colOff>293892</xdr:colOff>
      <xdr:row>100</xdr:row>
      <xdr:rowOff>95249</xdr:rowOff>
    </xdr:to>
    <xdr:pic>
      <xdr:nvPicPr>
        <xdr:cNvPr id="4100" name="図 4099">
          <a:extLst>
            <a:ext uri="{FF2B5EF4-FFF2-40B4-BE49-F238E27FC236}">
              <a16:creationId xmlns:a16="http://schemas.microsoft.com/office/drawing/2014/main" id="{2E3A0501-B5EF-58CE-0686-5A9A60FDEB5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1886" y="13897841"/>
          <a:ext cx="2346097" cy="649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389662</xdr:colOff>
      <xdr:row>85</xdr:row>
      <xdr:rowOff>43295</xdr:rowOff>
    </xdr:from>
    <xdr:to>
      <xdr:col>22</xdr:col>
      <xdr:colOff>173183</xdr:colOff>
      <xdr:row>88</xdr:row>
      <xdr:rowOff>199159</xdr:rowOff>
    </xdr:to>
    <xdr:sp macro="" textlink="">
      <xdr:nvSpPr>
        <xdr:cNvPr id="4117" name="テキスト ボックス 4116">
          <a:extLst>
            <a:ext uri="{FF2B5EF4-FFF2-40B4-BE49-F238E27FC236}">
              <a16:creationId xmlns:a16="http://schemas.microsoft.com/office/drawing/2014/main" id="{3CD93316-D97B-400D-8254-92C7B32534D7}"/>
            </a:ext>
          </a:extLst>
        </xdr:cNvPr>
        <xdr:cNvSpPr txBox="1"/>
      </xdr:nvSpPr>
      <xdr:spPr>
        <a:xfrm>
          <a:off x="11049003" y="10408227"/>
          <a:ext cx="3203862" cy="9178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solidFill>
                <a:srgbClr val="FF0000"/>
              </a:solidFill>
            </a:rPr>
            <a:t>ネット検索を行う際のキーワードの例！</a:t>
          </a:r>
          <a:endParaRPr kumimoji="1" lang="en-US" altLang="ja-JP" sz="1200" b="1" u="sng">
            <a:solidFill>
              <a:srgbClr val="FF0000"/>
            </a:solidFill>
          </a:endParaRPr>
        </a:p>
        <a:p>
          <a:r>
            <a:rPr kumimoji="1" lang="en-US" altLang="ja-JP" sz="1200" b="1"/>
            <a:t>1.</a:t>
          </a:r>
          <a:r>
            <a:rPr kumimoji="1" lang="ja-JP" altLang="en-US" sz="1200" b="1"/>
            <a:t>国民健康保険料の計算＋市区町村名</a:t>
          </a:r>
          <a:endParaRPr kumimoji="1" lang="en-US" altLang="ja-JP" sz="1200" b="1"/>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a:solidFill>
                <a:schemeClr val="dk1"/>
              </a:solidFill>
              <a:effectLst/>
              <a:latin typeface="+mn-lt"/>
              <a:ea typeface="+mn-ea"/>
              <a:cs typeface="+mn-cs"/>
            </a:rPr>
            <a:t>2.</a:t>
          </a:r>
          <a:r>
            <a:rPr kumimoji="1" lang="ja-JP" altLang="ja-JP" sz="1200" b="1">
              <a:solidFill>
                <a:schemeClr val="dk1"/>
              </a:solidFill>
              <a:effectLst/>
              <a:latin typeface="+mn-lt"/>
              <a:ea typeface="+mn-ea"/>
              <a:cs typeface="+mn-cs"/>
            </a:rPr>
            <a:t>国民健康保険</a:t>
          </a:r>
          <a:r>
            <a:rPr kumimoji="1" lang="ja-JP" altLang="en-US" sz="1200" b="1">
              <a:solidFill>
                <a:schemeClr val="dk1"/>
              </a:solidFill>
              <a:effectLst/>
              <a:latin typeface="+mn-lt"/>
              <a:ea typeface="+mn-ea"/>
              <a:cs typeface="+mn-cs"/>
            </a:rPr>
            <a:t>税</a:t>
          </a:r>
          <a:r>
            <a:rPr kumimoji="1" lang="ja-JP" altLang="ja-JP" sz="1200" b="1">
              <a:solidFill>
                <a:schemeClr val="dk1"/>
              </a:solidFill>
              <a:effectLst/>
              <a:latin typeface="+mn-lt"/>
              <a:ea typeface="+mn-ea"/>
              <a:cs typeface="+mn-cs"/>
            </a:rPr>
            <a:t>の計算＋市区町村名</a:t>
          </a:r>
          <a:endParaRPr lang="ja-JP" altLang="ja-JP" sz="1200"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a:solidFill>
                <a:schemeClr val="dk1"/>
              </a:solidFill>
              <a:effectLst/>
              <a:latin typeface="+mn-lt"/>
              <a:ea typeface="+mn-ea"/>
              <a:cs typeface="+mn-cs"/>
            </a:rPr>
            <a:t>3.</a:t>
          </a:r>
          <a:r>
            <a:rPr kumimoji="1" lang="ja-JP" altLang="ja-JP" sz="1200" b="1">
              <a:solidFill>
                <a:schemeClr val="dk1"/>
              </a:solidFill>
              <a:effectLst/>
              <a:latin typeface="+mn-lt"/>
              <a:ea typeface="+mn-ea"/>
              <a:cs typeface="+mn-cs"/>
            </a:rPr>
            <a:t>国民健康保険</a:t>
          </a:r>
          <a:r>
            <a:rPr kumimoji="1" lang="ja-JP" altLang="en-US" sz="1200" b="1">
              <a:solidFill>
                <a:schemeClr val="dk1"/>
              </a:solidFill>
              <a:effectLst/>
              <a:latin typeface="+mn-lt"/>
              <a:ea typeface="+mn-ea"/>
              <a:cs typeface="+mn-cs"/>
            </a:rPr>
            <a:t>料率</a:t>
          </a:r>
          <a:r>
            <a:rPr kumimoji="1" lang="ja-JP" altLang="ja-JP" sz="1200" b="1">
              <a:solidFill>
                <a:schemeClr val="dk1"/>
              </a:solidFill>
              <a:effectLst/>
              <a:latin typeface="+mn-lt"/>
              <a:ea typeface="+mn-ea"/>
              <a:cs typeface="+mn-cs"/>
            </a:rPr>
            <a:t>の計算＋市区町村名</a:t>
          </a:r>
          <a:r>
            <a:rPr kumimoji="1" lang="ja-JP" altLang="en-US" sz="1200" b="1"/>
            <a:t>　など</a:t>
          </a:r>
        </a:p>
      </xdr:txBody>
    </xdr:sp>
    <xdr:clientData/>
  </xdr:twoCellAnchor>
  <xdr:twoCellAnchor>
    <xdr:from>
      <xdr:col>13</xdr:col>
      <xdr:colOff>121229</xdr:colOff>
      <xdr:row>100</xdr:row>
      <xdr:rowOff>199160</xdr:rowOff>
    </xdr:from>
    <xdr:to>
      <xdr:col>17</xdr:col>
      <xdr:colOff>337706</xdr:colOff>
      <xdr:row>104</xdr:row>
      <xdr:rowOff>69274</xdr:rowOff>
    </xdr:to>
    <xdr:sp macro="" textlink="">
      <xdr:nvSpPr>
        <xdr:cNvPr id="4119" name="テキスト ボックス 4118">
          <a:extLst>
            <a:ext uri="{FF2B5EF4-FFF2-40B4-BE49-F238E27FC236}">
              <a16:creationId xmlns:a16="http://schemas.microsoft.com/office/drawing/2014/main" id="{D27871AD-5B3D-4DEE-8DC9-94FDFAFBA8C2}"/>
            </a:ext>
          </a:extLst>
        </xdr:cNvPr>
        <xdr:cNvSpPr txBox="1"/>
      </xdr:nvSpPr>
      <xdr:spPr>
        <a:xfrm>
          <a:off x="8044297" y="14651183"/>
          <a:ext cx="2952750" cy="9784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solidFill>
                <a:srgbClr val="FF0000"/>
              </a:solidFill>
            </a:rPr>
            <a:t>ネット検索を行う際のキーワードの例！</a:t>
          </a:r>
          <a:endParaRPr kumimoji="1" lang="en-US" altLang="ja-JP" sz="1200" b="1" u="sng">
            <a:solidFill>
              <a:srgbClr val="FF0000"/>
            </a:solidFill>
          </a:endParaRPr>
        </a:p>
        <a:p>
          <a:r>
            <a:rPr kumimoji="1" lang="en-US" altLang="ja-JP" sz="1200" b="1"/>
            <a:t>1.</a:t>
          </a:r>
          <a:r>
            <a:rPr kumimoji="1" lang="ja-JP" altLang="en-US" sz="1200" b="1"/>
            <a:t>地方税の計算＋市区町村名　</a:t>
          </a:r>
          <a:endParaRPr kumimoji="1" lang="en-US" altLang="ja-JP" sz="1200" b="1"/>
        </a:p>
        <a:p>
          <a:r>
            <a:rPr kumimoji="1" lang="en-US" altLang="ja-JP" sz="1200" b="1"/>
            <a:t>2.</a:t>
          </a:r>
          <a:r>
            <a:rPr kumimoji="1" lang="ja-JP" altLang="en-US" sz="1200" b="1"/>
            <a:t>町民税の計算＋市区町村名</a:t>
          </a:r>
          <a:endParaRPr kumimoji="1" lang="en-US" altLang="ja-JP" sz="1200" b="1"/>
        </a:p>
        <a:p>
          <a:r>
            <a:rPr kumimoji="1" lang="en-US" altLang="ja-JP" sz="1200" b="1"/>
            <a:t>3.</a:t>
          </a:r>
          <a:r>
            <a:rPr kumimoji="1" lang="ja-JP" altLang="en-US" sz="1200" b="1"/>
            <a:t>市民税の計算＋市区町村名　など</a:t>
          </a:r>
        </a:p>
      </xdr:txBody>
    </xdr:sp>
    <xdr:clientData/>
  </xdr:twoCellAnchor>
  <xdr:twoCellAnchor>
    <xdr:from>
      <xdr:col>17</xdr:col>
      <xdr:colOff>454478</xdr:colOff>
      <xdr:row>95</xdr:row>
      <xdr:rowOff>265984</xdr:rowOff>
    </xdr:from>
    <xdr:to>
      <xdr:col>26</xdr:col>
      <xdr:colOff>302442</xdr:colOff>
      <xdr:row>111</xdr:row>
      <xdr:rowOff>100019</xdr:rowOff>
    </xdr:to>
    <xdr:grpSp>
      <xdr:nvGrpSpPr>
        <xdr:cNvPr id="4139" name="グループ化 4138">
          <a:extLst>
            <a:ext uri="{FF2B5EF4-FFF2-40B4-BE49-F238E27FC236}">
              <a16:creationId xmlns:a16="http://schemas.microsoft.com/office/drawing/2014/main" id="{F3CE597D-5F7B-4A4F-89B8-1212B200FB5C}"/>
            </a:ext>
          </a:extLst>
        </xdr:cNvPr>
        <xdr:cNvGrpSpPr/>
      </xdr:nvGrpSpPr>
      <xdr:grpSpPr>
        <a:xfrm>
          <a:off x="11141528" y="29926834"/>
          <a:ext cx="6020164" cy="4253635"/>
          <a:chOff x="12049126" y="13163550"/>
          <a:chExt cx="8410574" cy="7191227"/>
        </a:xfrm>
      </xdr:grpSpPr>
      <xdr:grpSp>
        <xdr:nvGrpSpPr>
          <xdr:cNvPr id="4140" name="グループ化 4139">
            <a:extLst>
              <a:ext uri="{FF2B5EF4-FFF2-40B4-BE49-F238E27FC236}">
                <a16:creationId xmlns:a16="http://schemas.microsoft.com/office/drawing/2014/main" id="{E4C57638-910C-C7F6-CDF7-AA08E0549823}"/>
              </a:ext>
            </a:extLst>
          </xdr:cNvPr>
          <xdr:cNvGrpSpPr/>
        </xdr:nvGrpSpPr>
        <xdr:grpSpPr>
          <a:xfrm>
            <a:off x="12049126" y="13728044"/>
            <a:ext cx="8410574" cy="1989619"/>
            <a:chOff x="15982951" y="1983719"/>
            <a:chExt cx="9267824" cy="1989619"/>
          </a:xfrm>
        </xdr:grpSpPr>
        <xdr:grpSp>
          <xdr:nvGrpSpPr>
            <xdr:cNvPr id="4153" name="グループ化 4152">
              <a:extLst>
                <a:ext uri="{FF2B5EF4-FFF2-40B4-BE49-F238E27FC236}">
                  <a16:creationId xmlns:a16="http://schemas.microsoft.com/office/drawing/2014/main" id="{894AD6E0-3DF5-041A-9726-81EC50923AFC}"/>
                </a:ext>
              </a:extLst>
            </xdr:cNvPr>
            <xdr:cNvGrpSpPr/>
          </xdr:nvGrpSpPr>
          <xdr:grpSpPr>
            <a:xfrm>
              <a:off x="15982951" y="1983719"/>
              <a:ext cx="9267824" cy="1989619"/>
              <a:chOff x="15982951" y="1983719"/>
              <a:chExt cx="9267824" cy="1989619"/>
            </a:xfrm>
          </xdr:grpSpPr>
          <xdr:pic>
            <xdr:nvPicPr>
              <xdr:cNvPr id="4155" name="図 4154">
                <a:extLst>
                  <a:ext uri="{FF2B5EF4-FFF2-40B4-BE49-F238E27FC236}">
                    <a16:creationId xmlns:a16="http://schemas.microsoft.com/office/drawing/2014/main" id="{776582CB-D051-F2EA-EFF4-6E398F20EE7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982951" y="1983719"/>
                <a:ext cx="9267824" cy="1989619"/>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156" name="直線コネクタ 4155">
                <a:extLst>
                  <a:ext uri="{FF2B5EF4-FFF2-40B4-BE49-F238E27FC236}">
                    <a16:creationId xmlns:a16="http://schemas.microsoft.com/office/drawing/2014/main" id="{642EDFE7-60BC-69E7-5D3B-09100D8FE580}"/>
                  </a:ext>
                </a:extLst>
              </xdr:cNvPr>
              <xdr:cNvCxnSpPr/>
            </xdr:nvCxnSpPr>
            <xdr:spPr>
              <a:xfrm>
                <a:off x="16497300" y="2552700"/>
                <a:ext cx="6048375" cy="95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57" name="直線コネクタ 4156">
                <a:extLst>
                  <a:ext uri="{FF2B5EF4-FFF2-40B4-BE49-F238E27FC236}">
                    <a16:creationId xmlns:a16="http://schemas.microsoft.com/office/drawing/2014/main" id="{404CA4F0-5C9B-9297-FF6A-DF03DCF4BABF}"/>
                  </a:ext>
                </a:extLst>
              </xdr:cNvPr>
              <xdr:cNvCxnSpPr/>
            </xdr:nvCxnSpPr>
            <xdr:spPr>
              <a:xfrm flipV="1">
                <a:off x="16268701" y="2838450"/>
                <a:ext cx="8534399" cy="2519"/>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154" name="テキスト ボックス 4153">
              <a:extLst>
                <a:ext uri="{FF2B5EF4-FFF2-40B4-BE49-F238E27FC236}">
                  <a16:creationId xmlns:a16="http://schemas.microsoft.com/office/drawing/2014/main" id="{B3606C33-4EF0-B2C7-B410-D6A8DE491BFB}"/>
                </a:ext>
              </a:extLst>
            </xdr:cNvPr>
            <xdr:cNvSpPr txBox="1"/>
          </xdr:nvSpPr>
          <xdr:spPr>
            <a:xfrm>
              <a:off x="23012400" y="2009775"/>
              <a:ext cx="20764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奈良県ホームページより</a:t>
              </a:r>
            </a:p>
          </xdr:txBody>
        </xdr:sp>
      </xdr:grpSp>
      <xdr:grpSp>
        <xdr:nvGrpSpPr>
          <xdr:cNvPr id="4141" name="グループ化 4140">
            <a:extLst>
              <a:ext uri="{FF2B5EF4-FFF2-40B4-BE49-F238E27FC236}">
                <a16:creationId xmlns:a16="http://schemas.microsoft.com/office/drawing/2014/main" id="{81344F2B-A9B1-8027-B014-38CEB9624A7D}"/>
              </a:ext>
            </a:extLst>
          </xdr:cNvPr>
          <xdr:cNvGrpSpPr/>
        </xdr:nvGrpSpPr>
        <xdr:grpSpPr>
          <a:xfrm>
            <a:off x="12115800" y="15773400"/>
            <a:ext cx="7038975" cy="4581377"/>
            <a:chOff x="11715750" y="19640550"/>
            <a:chExt cx="7038975" cy="4581377"/>
          </a:xfrm>
        </xdr:grpSpPr>
        <xdr:grpSp>
          <xdr:nvGrpSpPr>
            <xdr:cNvPr id="4143" name="グループ化 4142">
              <a:extLst>
                <a:ext uri="{FF2B5EF4-FFF2-40B4-BE49-F238E27FC236}">
                  <a16:creationId xmlns:a16="http://schemas.microsoft.com/office/drawing/2014/main" id="{11F24688-95CA-E75B-358D-1768A04CE8E0}"/>
                </a:ext>
              </a:extLst>
            </xdr:cNvPr>
            <xdr:cNvGrpSpPr/>
          </xdr:nvGrpSpPr>
          <xdr:grpSpPr>
            <a:xfrm>
              <a:off x="11715750" y="19640550"/>
              <a:ext cx="7038975" cy="4581377"/>
              <a:chOff x="11687175" y="19564350"/>
              <a:chExt cx="7038975" cy="4581377"/>
            </a:xfrm>
          </xdr:grpSpPr>
          <xdr:grpSp>
            <xdr:nvGrpSpPr>
              <xdr:cNvPr id="4146" name="グループ化 4145">
                <a:extLst>
                  <a:ext uri="{FF2B5EF4-FFF2-40B4-BE49-F238E27FC236}">
                    <a16:creationId xmlns:a16="http://schemas.microsoft.com/office/drawing/2014/main" id="{07770AF5-8322-D4E5-CFBA-921499B3A695}"/>
                  </a:ext>
                </a:extLst>
              </xdr:cNvPr>
              <xdr:cNvGrpSpPr/>
            </xdr:nvGrpSpPr>
            <xdr:grpSpPr>
              <a:xfrm>
                <a:off x="11687175" y="19564350"/>
                <a:ext cx="7038975" cy="4581377"/>
                <a:chOff x="11687175" y="19564350"/>
                <a:chExt cx="7038975" cy="4581377"/>
              </a:xfrm>
            </xdr:grpSpPr>
            <xdr:pic>
              <xdr:nvPicPr>
                <xdr:cNvPr id="4149" name="図 4148">
                  <a:extLst>
                    <a:ext uri="{FF2B5EF4-FFF2-40B4-BE49-F238E27FC236}">
                      <a16:creationId xmlns:a16="http://schemas.microsoft.com/office/drawing/2014/main" id="{405D55A9-0E3C-4EFE-2B34-157C973D072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687175" y="19564350"/>
                  <a:ext cx="7038975" cy="458137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150" name="四角形: 角を丸くする 4149">
                  <a:extLst>
                    <a:ext uri="{FF2B5EF4-FFF2-40B4-BE49-F238E27FC236}">
                      <a16:creationId xmlns:a16="http://schemas.microsoft.com/office/drawing/2014/main" id="{5509A175-4E44-21BF-EF09-DA8F95AE7449}"/>
                    </a:ext>
                  </a:extLst>
                </xdr:cNvPr>
                <xdr:cNvSpPr/>
              </xdr:nvSpPr>
              <xdr:spPr>
                <a:xfrm>
                  <a:off x="13592175" y="21516975"/>
                  <a:ext cx="876300" cy="8191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51" name="四角形: 角を丸くする 4150">
                  <a:extLst>
                    <a:ext uri="{FF2B5EF4-FFF2-40B4-BE49-F238E27FC236}">
                      <a16:creationId xmlns:a16="http://schemas.microsoft.com/office/drawing/2014/main" id="{FA3A63F9-D190-A374-672F-573557D80797}"/>
                    </a:ext>
                  </a:extLst>
                </xdr:cNvPr>
                <xdr:cNvSpPr/>
              </xdr:nvSpPr>
              <xdr:spPr>
                <a:xfrm>
                  <a:off x="13563600" y="23098125"/>
                  <a:ext cx="876300" cy="8191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52" name="テキスト ボックス 4151">
                  <a:extLst>
                    <a:ext uri="{FF2B5EF4-FFF2-40B4-BE49-F238E27FC236}">
                      <a16:creationId xmlns:a16="http://schemas.microsoft.com/office/drawing/2014/main" id="{42C26D99-D14B-8D41-20E3-C5411B8A23A6}"/>
                    </a:ext>
                  </a:extLst>
                </xdr:cNvPr>
                <xdr:cNvSpPr txBox="1"/>
              </xdr:nvSpPr>
              <xdr:spPr>
                <a:xfrm>
                  <a:off x="12563475" y="20212050"/>
                  <a:ext cx="21526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大阪市ホームページより</a:t>
                  </a:r>
                </a:p>
              </xdr:txBody>
            </xdr:sp>
          </xdr:grpSp>
          <xdr:sp macro="" textlink="">
            <xdr:nvSpPr>
              <xdr:cNvPr id="4147" name="楕円 4146">
                <a:extLst>
                  <a:ext uri="{FF2B5EF4-FFF2-40B4-BE49-F238E27FC236}">
                    <a16:creationId xmlns:a16="http://schemas.microsoft.com/office/drawing/2014/main" id="{23FD2ADA-4421-AED0-B227-CE5D2CBC1779}"/>
                  </a:ext>
                </a:extLst>
              </xdr:cNvPr>
              <xdr:cNvSpPr/>
            </xdr:nvSpPr>
            <xdr:spPr>
              <a:xfrm>
                <a:off x="12620625" y="21717000"/>
                <a:ext cx="733425" cy="752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48" name="楕円 4147">
                <a:extLst>
                  <a:ext uri="{FF2B5EF4-FFF2-40B4-BE49-F238E27FC236}">
                    <a16:creationId xmlns:a16="http://schemas.microsoft.com/office/drawing/2014/main" id="{A5BDE8E3-BF0C-3047-AC8A-02064A4D164E}"/>
                  </a:ext>
                </a:extLst>
              </xdr:cNvPr>
              <xdr:cNvSpPr/>
            </xdr:nvSpPr>
            <xdr:spPr>
              <a:xfrm>
                <a:off x="12649200" y="23221950"/>
                <a:ext cx="733425" cy="752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144" name="四角形: 角を丸くする 4143">
              <a:extLst>
                <a:ext uri="{FF2B5EF4-FFF2-40B4-BE49-F238E27FC236}">
                  <a16:creationId xmlns:a16="http://schemas.microsoft.com/office/drawing/2014/main" id="{B0C64442-8D40-D7B1-6EFE-504F346CFE7C}"/>
                </a:ext>
              </a:extLst>
            </xdr:cNvPr>
            <xdr:cNvSpPr/>
          </xdr:nvSpPr>
          <xdr:spPr>
            <a:xfrm>
              <a:off x="11839574" y="20955000"/>
              <a:ext cx="714375" cy="15335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45" name="四角形: 角を丸くする 4144">
              <a:extLst>
                <a:ext uri="{FF2B5EF4-FFF2-40B4-BE49-F238E27FC236}">
                  <a16:creationId xmlns:a16="http://schemas.microsoft.com/office/drawing/2014/main" id="{5B1F515D-458D-CF5E-A78C-B2D6F9CD1B0A}"/>
                </a:ext>
              </a:extLst>
            </xdr:cNvPr>
            <xdr:cNvSpPr/>
          </xdr:nvSpPr>
          <xdr:spPr>
            <a:xfrm>
              <a:off x="11858625" y="22602825"/>
              <a:ext cx="714375" cy="15335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142" name="テキスト ボックス 4141">
            <a:extLst>
              <a:ext uri="{FF2B5EF4-FFF2-40B4-BE49-F238E27FC236}">
                <a16:creationId xmlns:a16="http://schemas.microsoft.com/office/drawing/2014/main" id="{C73A1723-8853-E2BD-9AD8-3BBA6467DD18}"/>
              </a:ext>
            </a:extLst>
          </xdr:cNvPr>
          <xdr:cNvSpPr txBox="1"/>
        </xdr:nvSpPr>
        <xdr:spPr>
          <a:xfrm>
            <a:off x="12230097" y="13163550"/>
            <a:ext cx="6363277" cy="44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t>【</a:t>
            </a:r>
            <a:r>
              <a:rPr kumimoji="1" lang="ja-JP" altLang="en-US" sz="1600" b="1"/>
              <a:t>自治体のホームページから抜粋した非課税基準の例</a:t>
            </a:r>
            <a:r>
              <a:rPr kumimoji="1" lang="en-US" altLang="ja-JP" sz="1600" b="1"/>
              <a:t>】</a:t>
            </a:r>
            <a:endParaRPr kumimoji="1" lang="ja-JP" altLang="en-US" sz="1600" b="1"/>
          </a:p>
        </xdr:txBody>
      </xdr:sp>
    </xdr:grpSp>
    <xdr:clientData/>
  </xdr:twoCellAnchor>
  <xdr:twoCellAnchor editAs="oneCell">
    <xdr:from>
      <xdr:col>2</xdr:col>
      <xdr:colOff>441613</xdr:colOff>
      <xdr:row>104</xdr:row>
      <xdr:rowOff>164524</xdr:rowOff>
    </xdr:from>
    <xdr:to>
      <xdr:col>15</xdr:col>
      <xdr:colOff>536863</xdr:colOff>
      <xdr:row>110</xdr:row>
      <xdr:rowOff>119241</xdr:rowOff>
    </xdr:to>
    <xdr:pic>
      <xdr:nvPicPr>
        <xdr:cNvPr id="4158" name="図 4157">
          <a:extLst>
            <a:ext uri="{FF2B5EF4-FFF2-40B4-BE49-F238E27FC236}">
              <a16:creationId xmlns:a16="http://schemas.microsoft.com/office/drawing/2014/main" id="{7B2B4A09-6CE1-8047-3E02-D6826044E73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22613" y="15724910"/>
          <a:ext cx="9005455" cy="161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684070</xdr:colOff>
      <xdr:row>5</xdr:row>
      <xdr:rowOff>259773</xdr:rowOff>
    </xdr:from>
    <xdr:to>
      <xdr:col>12</xdr:col>
      <xdr:colOff>612913</xdr:colOff>
      <xdr:row>7</xdr:row>
      <xdr:rowOff>82075</xdr:rowOff>
    </xdr:to>
    <xdr:sp macro="" textlink="">
      <xdr:nvSpPr>
        <xdr:cNvPr id="10" name="四角形: 角を丸くする 9">
          <a:hlinkClick xmlns:r="http://schemas.openxmlformats.org/officeDocument/2006/relationships" r:id="rId17"/>
          <a:extLst>
            <a:ext uri="{FF2B5EF4-FFF2-40B4-BE49-F238E27FC236}">
              <a16:creationId xmlns:a16="http://schemas.microsoft.com/office/drawing/2014/main" id="{35F9F5E2-6858-4F5B-8E83-225685074F12}"/>
            </a:ext>
          </a:extLst>
        </xdr:cNvPr>
        <xdr:cNvSpPr/>
      </xdr:nvSpPr>
      <xdr:spPr>
        <a:xfrm>
          <a:off x="5703331" y="1891447"/>
          <a:ext cx="2181712" cy="418650"/>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０．設定仕様概要</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clientData/>
  </xdr:twoCellAnchor>
  <xdr:twoCellAnchor>
    <xdr:from>
      <xdr:col>16</xdr:col>
      <xdr:colOff>493568</xdr:colOff>
      <xdr:row>61</xdr:row>
      <xdr:rowOff>34636</xdr:rowOff>
    </xdr:from>
    <xdr:to>
      <xdr:col>21</xdr:col>
      <xdr:colOff>103909</xdr:colOff>
      <xdr:row>63</xdr:row>
      <xdr:rowOff>278822</xdr:rowOff>
    </xdr:to>
    <xdr:sp macro="" textlink="">
      <xdr:nvSpPr>
        <xdr:cNvPr id="20" name="楕円 19">
          <a:extLst>
            <a:ext uri="{FF2B5EF4-FFF2-40B4-BE49-F238E27FC236}">
              <a16:creationId xmlns:a16="http://schemas.microsoft.com/office/drawing/2014/main" id="{1656C7B8-CB9F-4728-95F6-5045AFD37577}"/>
            </a:ext>
          </a:extLst>
        </xdr:cNvPr>
        <xdr:cNvSpPr/>
      </xdr:nvSpPr>
      <xdr:spPr>
        <a:xfrm>
          <a:off x="10468841" y="8702386"/>
          <a:ext cx="3030682" cy="815686"/>
        </a:xfrm>
        <a:prstGeom prst="ellipse">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277091</xdr:colOff>
      <xdr:row>57</xdr:row>
      <xdr:rowOff>259773</xdr:rowOff>
    </xdr:from>
    <xdr:to>
      <xdr:col>27</xdr:col>
      <xdr:colOff>294410</xdr:colOff>
      <xdr:row>60</xdr:row>
      <xdr:rowOff>238347</xdr:rowOff>
    </xdr:to>
    <xdr:sp macro="" textlink="">
      <xdr:nvSpPr>
        <xdr:cNvPr id="22" name="吹き出し: 折線 (枠付き、強調線付き) 21">
          <a:extLst>
            <a:ext uri="{FF2B5EF4-FFF2-40B4-BE49-F238E27FC236}">
              <a16:creationId xmlns:a16="http://schemas.microsoft.com/office/drawing/2014/main" id="{82E0B309-25E8-45F9-A172-8AE28E1F232D}"/>
            </a:ext>
          </a:extLst>
        </xdr:cNvPr>
        <xdr:cNvSpPr/>
      </xdr:nvSpPr>
      <xdr:spPr>
        <a:xfrm>
          <a:off x="15724909" y="7784523"/>
          <a:ext cx="2069524" cy="835824"/>
        </a:xfrm>
        <a:prstGeom prst="accentBorderCallout2">
          <a:avLst>
            <a:gd name="adj1" fmla="val 82532"/>
            <a:gd name="adj2" fmla="val -5145"/>
            <a:gd name="adj3" fmla="val 88563"/>
            <a:gd name="adj4" fmla="val -40029"/>
            <a:gd name="adj5" fmla="val 128565"/>
            <a:gd name="adj6" fmla="val -14085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ja-JP" altLang="en-US" sz="1100" b="1" i="0" u="none" strike="noStrike">
              <a:solidFill>
                <a:schemeClr val="dk1"/>
              </a:solidFill>
              <a:effectLst/>
              <a:latin typeface="+mn-lt"/>
              <a:ea typeface="+mn-ea"/>
              <a:cs typeface="+mn-cs"/>
            </a:rPr>
            <a:t>・月収社会保険適用拡大基準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・月収年収算定基準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・月収標準報酬月額算定基準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上記３区分で集計　</a:t>
          </a:r>
          <a:endParaRPr lang="en-US" altLang="ja-JP" sz="1100" b="1" i="0" u="none" strike="noStrike">
            <a:solidFill>
              <a:schemeClr val="dk1"/>
            </a:solidFill>
            <a:effectLst/>
            <a:latin typeface="+mn-lt"/>
            <a:ea typeface="+mn-ea"/>
            <a:cs typeface="+mn-cs"/>
          </a:endParaRPr>
        </a:p>
      </xdr:txBody>
    </xdr:sp>
    <xdr:clientData/>
  </xdr:twoCellAnchor>
  <xdr:twoCellAnchor>
    <xdr:from>
      <xdr:col>11</xdr:col>
      <xdr:colOff>222250</xdr:colOff>
      <xdr:row>66</xdr:row>
      <xdr:rowOff>233794</xdr:rowOff>
    </xdr:from>
    <xdr:to>
      <xdr:col>20</xdr:col>
      <xdr:colOff>10583</xdr:colOff>
      <xdr:row>74</xdr:row>
      <xdr:rowOff>121227</xdr:rowOff>
    </xdr:to>
    <xdr:sp macro="" textlink="">
      <xdr:nvSpPr>
        <xdr:cNvPr id="23" name="吹き出し: 折線 (枠付き、強調線付き) 22">
          <a:extLst>
            <a:ext uri="{FF2B5EF4-FFF2-40B4-BE49-F238E27FC236}">
              <a16:creationId xmlns:a16="http://schemas.microsoft.com/office/drawing/2014/main" id="{635B2EF3-37B9-4551-A666-50AD2C9E52EB}"/>
            </a:ext>
          </a:extLst>
        </xdr:cNvPr>
        <xdr:cNvSpPr/>
      </xdr:nvSpPr>
      <xdr:spPr>
        <a:xfrm>
          <a:off x="6815667" y="22077794"/>
          <a:ext cx="5979583" cy="2173433"/>
        </a:xfrm>
        <a:prstGeom prst="accentBorderCallout2">
          <a:avLst>
            <a:gd name="adj1" fmla="val 61815"/>
            <a:gd name="adj2" fmla="val -607"/>
            <a:gd name="adj3" fmla="val 68613"/>
            <a:gd name="adj4" fmla="val -19491"/>
            <a:gd name="adj5" fmla="val -83305"/>
            <a:gd name="adj6" fmla="val -8075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ja-JP" altLang="en-US" sz="1100" b="1" i="0" u="sng" strike="noStrike">
              <a:solidFill>
                <a:schemeClr val="dk1"/>
              </a:solidFill>
              <a:effectLst/>
              <a:latin typeface="+mj-ea"/>
              <a:ea typeface="+mj-ea"/>
              <a:cs typeface="+mn-cs"/>
            </a:rPr>
            <a:t>問 </a:t>
          </a:r>
          <a:r>
            <a:rPr lang="en-US" altLang="ja-JP" sz="1100" b="1" i="0" u="sng" strike="noStrike">
              <a:solidFill>
                <a:schemeClr val="dk1"/>
              </a:solidFill>
              <a:effectLst/>
              <a:latin typeface="+mj-ea"/>
              <a:ea typeface="+mj-ea"/>
              <a:cs typeface="+mn-cs"/>
            </a:rPr>
            <a:t>41 </a:t>
          </a:r>
          <a:r>
            <a:rPr lang="ja-JP" altLang="en-US" sz="1100" b="1" i="0" u="sng" strike="noStrike">
              <a:solidFill>
                <a:schemeClr val="dk1"/>
              </a:solidFill>
              <a:effectLst/>
              <a:latin typeface="+mj-ea"/>
              <a:ea typeface="+mj-ea"/>
              <a:cs typeface="+mn-cs"/>
            </a:rPr>
            <a:t>月額賃金が </a:t>
          </a:r>
          <a:r>
            <a:rPr lang="en-US" altLang="ja-JP" sz="1100" b="1" i="0" u="sng" strike="noStrike">
              <a:solidFill>
                <a:schemeClr val="dk1"/>
              </a:solidFill>
              <a:effectLst/>
              <a:latin typeface="+mj-ea"/>
              <a:ea typeface="+mj-ea"/>
              <a:cs typeface="+mn-cs"/>
            </a:rPr>
            <a:t>8.8 </a:t>
          </a:r>
          <a:r>
            <a:rPr lang="ja-JP" altLang="en-US" sz="1100" b="1" i="0" u="sng" strike="noStrike">
              <a:solidFill>
                <a:schemeClr val="dk1"/>
              </a:solidFill>
              <a:effectLst/>
              <a:latin typeface="+mj-ea"/>
              <a:ea typeface="+mj-ea"/>
              <a:cs typeface="+mn-cs"/>
            </a:rPr>
            <a:t>万円以上の算定基礎となる賃金には、どのようなものが含まれるのか。</a:t>
          </a:r>
        </a:p>
        <a:p>
          <a:pPr algn="l"/>
          <a:r>
            <a:rPr lang="ja-JP" altLang="en-US" sz="1100" b="1" i="0" u="none" strike="noStrike">
              <a:solidFill>
                <a:schemeClr val="dk1"/>
              </a:solidFill>
              <a:effectLst/>
              <a:latin typeface="+mj-ea"/>
              <a:ea typeface="+mj-ea"/>
              <a:cs typeface="+mn-cs"/>
            </a:rPr>
            <a:t>（答）月額賃金 </a:t>
          </a:r>
          <a:r>
            <a:rPr lang="en-US" altLang="ja-JP" sz="1100" b="1" i="0" u="none" strike="noStrike">
              <a:solidFill>
                <a:schemeClr val="dk1"/>
              </a:solidFill>
              <a:effectLst/>
              <a:latin typeface="+mj-ea"/>
              <a:ea typeface="+mj-ea"/>
              <a:cs typeface="+mn-cs"/>
            </a:rPr>
            <a:t>8.8 </a:t>
          </a:r>
          <a:r>
            <a:rPr lang="ja-JP" altLang="en-US" sz="1100" b="1" i="0" u="none" strike="noStrike">
              <a:solidFill>
                <a:schemeClr val="dk1"/>
              </a:solidFill>
              <a:effectLst/>
              <a:latin typeface="+mj-ea"/>
              <a:ea typeface="+mj-ea"/>
              <a:cs typeface="+mn-cs"/>
            </a:rPr>
            <a:t>万円の算定対象は、基本給及び諸手当で判断します。ただ</a:t>
          </a:r>
        </a:p>
        <a:p>
          <a:pPr algn="l"/>
          <a:r>
            <a:rPr lang="ja-JP" altLang="en-US" sz="1100" b="1" i="0" u="none" strike="noStrike">
              <a:solidFill>
                <a:schemeClr val="dk1"/>
              </a:solidFill>
              <a:effectLst/>
              <a:latin typeface="+mj-ea"/>
              <a:ea typeface="+mj-ea"/>
              <a:cs typeface="+mn-cs"/>
            </a:rPr>
            <a:t>し、</a:t>
          </a:r>
          <a:r>
            <a:rPr lang="ja-JP" altLang="en-US" sz="1100" b="1" i="0" u="none" strike="noStrike">
              <a:solidFill>
                <a:srgbClr val="FF0000"/>
              </a:solidFill>
              <a:effectLst/>
              <a:latin typeface="+mj-ea"/>
              <a:ea typeface="+mj-ea"/>
              <a:cs typeface="+mn-cs"/>
            </a:rPr>
            <a:t>以下の①から④までの賃金は算入されません。</a:t>
          </a:r>
        </a:p>
        <a:p>
          <a:pPr algn="l"/>
          <a:r>
            <a:rPr lang="ja-JP" altLang="en-US" sz="1100" b="1" i="0" u="none" strike="noStrike">
              <a:solidFill>
                <a:schemeClr val="dk1"/>
              </a:solidFill>
              <a:effectLst/>
              <a:latin typeface="+mj-ea"/>
              <a:ea typeface="+mj-ea"/>
              <a:cs typeface="+mn-cs"/>
            </a:rPr>
            <a:t>① 臨時に支払われる賃金（結婚手当等）</a:t>
          </a:r>
        </a:p>
        <a:p>
          <a:pPr algn="l"/>
          <a:r>
            <a:rPr lang="ja-JP" altLang="en-US" sz="1100" b="1" i="0" u="none" strike="noStrike">
              <a:solidFill>
                <a:schemeClr val="dk1"/>
              </a:solidFill>
              <a:effectLst/>
              <a:latin typeface="+mj-ea"/>
              <a:ea typeface="+mj-ea"/>
              <a:cs typeface="+mn-cs"/>
            </a:rPr>
            <a:t>② １月を超える期間ごとに支払われる賃金（賞与等）</a:t>
          </a:r>
        </a:p>
        <a:p>
          <a:pPr algn="l"/>
          <a:r>
            <a:rPr lang="ja-JP" altLang="en-US" sz="1100" b="1" i="0" u="none" strike="noStrike">
              <a:solidFill>
                <a:schemeClr val="dk1"/>
              </a:solidFill>
              <a:effectLst/>
              <a:latin typeface="+mj-ea"/>
              <a:ea typeface="+mj-ea"/>
              <a:cs typeface="+mn-cs"/>
            </a:rPr>
            <a:t>③ 時間外労働に対して支払われる賃金、休日労働及び深夜労働に対して</a:t>
          </a:r>
        </a:p>
        <a:p>
          <a:pPr algn="l"/>
          <a:r>
            <a:rPr lang="ja-JP" altLang="en-US" sz="1100" b="1" i="0" u="none" strike="noStrike">
              <a:solidFill>
                <a:schemeClr val="dk1"/>
              </a:solidFill>
              <a:effectLst/>
              <a:latin typeface="+mj-ea"/>
              <a:ea typeface="+mj-ea"/>
              <a:cs typeface="+mn-cs"/>
            </a:rPr>
            <a:t>支払われる賃金（割増賃金等）</a:t>
          </a:r>
        </a:p>
        <a:p>
          <a:pPr algn="l"/>
          <a:r>
            <a:rPr lang="ja-JP" altLang="en-US" sz="1100" b="1" i="0" u="none" strike="noStrike">
              <a:solidFill>
                <a:schemeClr val="dk1"/>
              </a:solidFill>
              <a:effectLst/>
              <a:latin typeface="+mj-ea"/>
              <a:ea typeface="+mj-ea"/>
              <a:cs typeface="+mn-cs"/>
            </a:rPr>
            <a:t>④ 最低賃金において算入しないことを定める賃金（精皆勤手当、通勤手当</a:t>
          </a:r>
        </a:p>
        <a:p>
          <a:pPr algn="l"/>
          <a:r>
            <a:rPr lang="ja-JP" altLang="en-US" sz="1100" b="1" i="0" u="none" strike="noStrike">
              <a:solidFill>
                <a:schemeClr val="dk1"/>
              </a:solidFill>
              <a:effectLst/>
              <a:latin typeface="+mj-ea"/>
              <a:ea typeface="+mj-ea"/>
              <a:cs typeface="+mn-cs"/>
            </a:rPr>
            <a:t>及び家族手当）</a:t>
          </a:r>
        </a:p>
        <a:p>
          <a:pPr algn="l"/>
          <a:r>
            <a:rPr lang="ja-JP" altLang="en-US" sz="1100" b="1" i="0" u="none" strike="noStrike">
              <a:solidFill>
                <a:schemeClr val="dk1"/>
              </a:solidFill>
              <a:effectLst/>
              <a:latin typeface="+mj-ea"/>
              <a:ea typeface="+mj-ea"/>
              <a:cs typeface="+mn-cs"/>
            </a:rPr>
            <a:t>　なお、月額賃金が</a:t>
          </a:r>
          <a:r>
            <a:rPr lang="en-US" altLang="ja-JP" sz="1100" b="1" i="0" u="none" strike="noStrike">
              <a:solidFill>
                <a:schemeClr val="dk1"/>
              </a:solidFill>
              <a:effectLst/>
              <a:latin typeface="+mj-ea"/>
              <a:ea typeface="+mj-ea"/>
              <a:cs typeface="+mn-cs"/>
            </a:rPr>
            <a:t>8.8</a:t>
          </a:r>
          <a:r>
            <a:rPr lang="ja-JP" altLang="en-US" sz="1100" b="1" i="0" u="none" strike="noStrike">
              <a:solidFill>
                <a:schemeClr val="dk1"/>
              </a:solidFill>
              <a:effectLst/>
              <a:latin typeface="+mj-ea"/>
              <a:ea typeface="+mj-ea"/>
              <a:cs typeface="+mn-cs"/>
            </a:rPr>
            <a:t>万円以上であるかないかのみに基づき、要件を満たすか否</a:t>
          </a:r>
        </a:p>
        <a:p>
          <a:pPr algn="l"/>
          <a:r>
            <a:rPr lang="ja-JP" altLang="en-US" sz="1100" b="1" i="0" u="none" strike="noStrike">
              <a:solidFill>
                <a:schemeClr val="dk1"/>
              </a:solidFill>
              <a:effectLst/>
              <a:latin typeface="+mj-ea"/>
              <a:ea typeface="+mj-ea"/>
              <a:cs typeface="+mn-cs"/>
            </a:rPr>
            <a:t>かを判定します（年収</a:t>
          </a:r>
          <a:r>
            <a:rPr lang="en-US" altLang="ja-JP" sz="1100" b="1" i="0" u="none" strike="noStrike">
              <a:solidFill>
                <a:schemeClr val="dk1"/>
              </a:solidFill>
              <a:effectLst/>
              <a:latin typeface="+mj-ea"/>
              <a:ea typeface="+mj-ea"/>
              <a:cs typeface="+mn-cs"/>
            </a:rPr>
            <a:t>106</a:t>
          </a:r>
          <a:r>
            <a:rPr lang="ja-JP" altLang="en-US" sz="1100" b="1" i="0" u="none" strike="noStrike">
              <a:solidFill>
                <a:schemeClr val="dk1"/>
              </a:solidFill>
              <a:effectLst/>
              <a:latin typeface="+mj-ea"/>
              <a:ea typeface="+mj-ea"/>
              <a:cs typeface="+mn-cs"/>
            </a:rPr>
            <a:t>万円以上というのはあくまで参考の値です。）</a:t>
          </a:r>
        </a:p>
      </xdr:txBody>
    </xdr:sp>
    <xdr:clientData/>
  </xdr:twoCellAnchor>
  <xdr:twoCellAnchor>
    <xdr:from>
      <xdr:col>2</xdr:col>
      <xdr:colOff>380586</xdr:colOff>
      <xdr:row>8</xdr:row>
      <xdr:rowOff>24848</xdr:rowOff>
    </xdr:from>
    <xdr:to>
      <xdr:col>4</xdr:col>
      <xdr:colOff>455130</xdr:colOff>
      <xdr:row>9</xdr:row>
      <xdr:rowOff>141705</xdr:rowOff>
    </xdr:to>
    <xdr:sp macro="" textlink="">
      <xdr:nvSpPr>
        <xdr:cNvPr id="2" name="四角形: 角を丸くする 1">
          <a:extLst>
            <a:ext uri="{FF2B5EF4-FFF2-40B4-BE49-F238E27FC236}">
              <a16:creationId xmlns:a16="http://schemas.microsoft.com/office/drawing/2014/main" id="{AB7E300E-F2A9-43AF-840E-98782DDBC2BB}"/>
            </a:ext>
          </a:extLst>
        </xdr:cNvPr>
        <xdr:cNvSpPr/>
      </xdr:nvSpPr>
      <xdr:spPr>
        <a:xfrm>
          <a:off x="761586" y="2529923"/>
          <a:ext cx="1274694" cy="412132"/>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ctr"/>
          <a:r>
            <a:rPr kumimoji="1" lang="ja-JP" altLang="en-US" sz="1200" b="1">
              <a:solidFill>
                <a:schemeClr val="tx1"/>
              </a:solidFill>
              <a:latin typeface="游ゴシック Medium" panose="020B0500000000000000" pitchFamily="50" charset="-128"/>
              <a:ea typeface="游ゴシック Medium" panose="020B0500000000000000" pitchFamily="50" charset="-128"/>
            </a:rPr>
            <a:t>操作手順</a:t>
          </a:r>
        </a:p>
      </xdr:txBody>
    </xdr:sp>
    <xdr:clientData/>
  </xdr:twoCellAnchor>
  <xdr:twoCellAnchor>
    <xdr:from>
      <xdr:col>2</xdr:col>
      <xdr:colOff>190500</xdr:colOff>
      <xdr:row>37</xdr:row>
      <xdr:rowOff>281609</xdr:rowOff>
    </xdr:from>
    <xdr:to>
      <xdr:col>23</xdr:col>
      <xdr:colOff>140805</xdr:colOff>
      <xdr:row>48</xdr:row>
      <xdr:rowOff>163583</xdr:rowOff>
    </xdr:to>
    <xdr:grpSp>
      <xdr:nvGrpSpPr>
        <xdr:cNvPr id="65" name="グループ化 64">
          <a:extLst>
            <a:ext uri="{FF2B5EF4-FFF2-40B4-BE49-F238E27FC236}">
              <a16:creationId xmlns:a16="http://schemas.microsoft.com/office/drawing/2014/main" id="{10C41681-70CD-8728-2956-AA0919AF405D}"/>
            </a:ext>
          </a:extLst>
        </xdr:cNvPr>
        <xdr:cNvGrpSpPr/>
      </xdr:nvGrpSpPr>
      <xdr:grpSpPr>
        <a:xfrm>
          <a:off x="571500" y="13997609"/>
          <a:ext cx="14371155" cy="3025224"/>
          <a:chOff x="571500" y="6038022"/>
          <a:chExt cx="14403457" cy="3070778"/>
        </a:xfrm>
      </xdr:grpSpPr>
      <xdr:sp macro="" textlink="">
        <xdr:nvSpPr>
          <xdr:cNvPr id="5" name="テキスト ボックス 4">
            <a:extLst>
              <a:ext uri="{FF2B5EF4-FFF2-40B4-BE49-F238E27FC236}">
                <a16:creationId xmlns:a16="http://schemas.microsoft.com/office/drawing/2014/main" id="{74513AC8-6BAB-469B-A9A7-6A157CCA47CB}"/>
              </a:ext>
            </a:extLst>
          </xdr:cNvPr>
          <xdr:cNvSpPr txBox="1"/>
        </xdr:nvSpPr>
        <xdr:spPr>
          <a:xfrm>
            <a:off x="571500" y="6203674"/>
            <a:ext cx="1598543" cy="1896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パスワードの保護解除　</a:t>
            </a:r>
            <a:endParaRPr kumimoji="1" lang="en-US" altLang="ja-JP" sz="1200" b="1"/>
          </a:p>
          <a:p>
            <a:r>
              <a:rPr kumimoji="1" lang="ja-JP" altLang="en-US" sz="1200" b="1"/>
              <a:t>　・保護の解除（シート単位）：</a:t>
            </a:r>
            <a:endParaRPr kumimoji="1" lang="en-US" altLang="ja-JP" sz="1200" b="1"/>
          </a:p>
          <a:p>
            <a:r>
              <a:rPr kumimoji="1" lang="ja-JP" altLang="en-US" sz="1200" b="1"/>
              <a:t>ツールバー「校閲」→「シートの保護（解除）→「パスワード」半角で入力</a:t>
            </a:r>
          </a:p>
          <a:p>
            <a:endParaRPr kumimoji="1" lang="ja-JP" altLang="en-US" sz="1200" b="1"/>
          </a:p>
        </xdr:txBody>
      </xdr:sp>
      <xdr:sp macro="" textlink="">
        <xdr:nvSpPr>
          <xdr:cNvPr id="21" name="テキスト ボックス 20">
            <a:extLst>
              <a:ext uri="{FF2B5EF4-FFF2-40B4-BE49-F238E27FC236}">
                <a16:creationId xmlns:a16="http://schemas.microsoft.com/office/drawing/2014/main" id="{2EB4E5BE-7C02-447C-A9A0-2EFB83862543}"/>
              </a:ext>
            </a:extLst>
          </xdr:cNvPr>
          <xdr:cNvSpPr txBox="1"/>
        </xdr:nvSpPr>
        <xdr:spPr>
          <a:xfrm>
            <a:off x="2526196" y="6245086"/>
            <a:ext cx="1225826" cy="1747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シート内の青字セル（入力セル）を列単位または複数選択します（Ｃｔｒｌキーを押しながら選択）。</a:t>
            </a:r>
          </a:p>
        </xdr:txBody>
      </xdr:sp>
      <xdr:sp macro="" textlink="">
        <xdr:nvSpPr>
          <xdr:cNvPr id="24" name="テキスト ボックス 23">
            <a:extLst>
              <a:ext uri="{FF2B5EF4-FFF2-40B4-BE49-F238E27FC236}">
                <a16:creationId xmlns:a16="http://schemas.microsoft.com/office/drawing/2014/main" id="{D04C8F13-9B32-437E-9E52-3F7581ED6CB2}"/>
              </a:ext>
            </a:extLst>
          </xdr:cNvPr>
          <xdr:cNvSpPr txBox="1"/>
        </xdr:nvSpPr>
        <xdr:spPr>
          <a:xfrm>
            <a:off x="4075043" y="6195391"/>
            <a:ext cx="1035326" cy="1913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選択範囲内でカーソル右クリック</a:t>
            </a:r>
            <a:endParaRPr kumimoji="1" lang="en-US" altLang="ja-JP" sz="1200" b="1"/>
          </a:p>
          <a:p>
            <a:r>
              <a:rPr kumimoji="1" lang="ja-JP" altLang="en-US" sz="1200" b="1"/>
              <a:t>⇒</a:t>
            </a:r>
            <a:endParaRPr kumimoji="1" lang="en-US" altLang="ja-JP" sz="1200" b="1"/>
          </a:p>
          <a:p>
            <a:r>
              <a:rPr kumimoji="1" lang="ja-JP" altLang="en-US" sz="1200" b="1"/>
              <a:t>メニューの検索から</a:t>
            </a:r>
            <a:endParaRPr kumimoji="1" lang="en-US" altLang="ja-JP" sz="1200" b="1"/>
          </a:p>
          <a:p>
            <a:r>
              <a:rPr kumimoji="1" lang="ja-JP" altLang="en-US" sz="1200" b="1"/>
              <a:t>「セルの書式設定」をクリック</a:t>
            </a:r>
          </a:p>
        </xdr:txBody>
      </xdr:sp>
      <xdr:sp macro="" textlink="">
        <xdr:nvSpPr>
          <xdr:cNvPr id="25" name="テキスト ボックス 24">
            <a:extLst>
              <a:ext uri="{FF2B5EF4-FFF2-40B4-BE49-F238E27FC236}">
                <a16:creationId xmlns:a16="http://schemas.microsoft.com/office/drawing/2014/main" id="{9C716428-0F7D-494D-9A00-B86AD3BDE052}"/>
              </a:ext>
            </a:extLst>
          </xdr:cNvPr>
          <xdr:cNvSpPr txBox="1"/>
        </xdr:nvSpPr>
        <xdr:spPr>
          <a:xfrm>
            <a:off x="7976153" y="6145696"/>
            <a:ext cx="1035326" cy="20375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「セルの書式設定」上部の「保護」をクリック</a:t>
            </a:r>
            <a:endParaRPr kumimoji="1" lang="en-US" altLang="ja-JP" sz="1200" b="1"/>
          </a:p>
          <a:p>
            <a:endParaRPr kumimoji="1" lang="en-US" altLang="ja-JP" sz="1200" b="1"/>
          </a:p>
          <a:p>
            <a:r>
              <a:rPr kumimoji="1" lang="ja-JP" altLang="en-US" sz="1200" b="1"/>
              <a:t>画面の「ロック」と「表示しない」のレ点を外す</a:t>
            </a:r>
          </a:p>
        </xdr:txBody>
      </xdr:sp>
      <xdr:sp macro="" textlink="">
        <xdr:nvSpPr>
          <xdr:cNvPr id="54" name="テキスト ボックス 53">
            <a:extLst>
              <a:ext uri="{FF2B5EF4-FFF2-40B4-BE49-F238E27FC236}">
                <a16:creationId xmlns:a16="http://schemas.microsoft.com/office/drawing/2014/main" id="{1BAEA020-D56C-477E-A612-34B61DB35D0A}"/>
              </a:ext>
            </a:extLst>
          </xdr:cNvPr>
          <xdr:cNvSpPr txBox="1"/>
        </xdr:nvSpPr>
        <xdr:spPr>
          <a:xfrm>
            <a:off x="13798827" y="6253368"/>
            <a:ext cx="1176130" cy="14908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ツールバー「校閲」→「シートの保護</a:t>
            </a:r>
            <a:r>
              <a:rPr kumimoji="1" lang="ja-JP" altLang="en-US"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パスワードなしで再保護をします。</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200" b="1"/>
          </a:p>
        </xdr:txBody>
      </xdr:sp>
      <xdr:sp macro="" textlink="">
        <xdr:nvSpPr>
          <xdr:cNvPr id="3" name="矢印: 右 2">
            <a:extLst>
              <a:ext uri="{FF2B5EF4-FFF2-40B4-BE49-F238E27FC236}">
                <a16:creationId xmlns:a16="http://schemas.microsoft.com/office/drawing/2014/main" id="{A6CA6F55-9B76-2AA8-2D98-1407D195177F}"/>
              </a:ext>
            </a:extLst>
          </xdr:cNvPr>
          <xdr:cNvSpPr/>
        </xdr:nvSpPr>
        <xdr:spPr>
          <a:xfrm>
            <a:off x="2178326" y="6626087"/>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矢印: 右 5">
            <a:extLst>
              <a:ext uri="{FF2B5EF4-FFF2-40B4-BE49-F238E27FC236}">
                <a16:creationId xmlns:a16="http://schemas.microsoft.com/office/drawing/2014/main" id="{EC787D2E-7069-4CD0-9850-4E6F35538901}"/>
              </a:ext>
            </a:extLst>
          </xdr:cNvPr>
          <xdr:cNvSpPr/>
        </xdr:nvSpPr>
        <xdr:spPr>
          <a:xfrm>
            <a:off x="13487399" y="6761921"/>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矢印: 右 13">
            <a:extLst>
              <a:ext uri="{FF2B5EF4-FFF2-40B4-BE49-F238E27FC236}">
                <a16:creationId xmlns:a16="http://schemas.microsoft.com/office/drawing/2014/main" id="{5C944AB6-B325-4739-8207-6CCE2B2A6A31}"/>
              </a:ext>
            </a:extLst>
          </xdr:cNvPr>
          <xdr:cNvSpPr/>
        </xdr:nvSpPr>
        <xdr:spPr>
          <a:xfrm>
            <a:off x="7634908" y="6657560"/>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矢印: 右 14">
            <a:extLst>
              <a:ext uri="{FF2B5EF4-FFF2-40B4-BE49-F238E27FC236}">
                <a16:creationId xmlns:a16="http://schemas.microsoft.com/office/drawing/2014/main" id="{AEED80AE-1297-43FB-8E45-F7CD5ACB21F1}"/>
              </a:ext>
            </a:extLst>
          </xdr:cNvPr>
          <xdr:cNvSpPr/>
        </xdr:nvSpPr>
        <xdr:spPr>
          <a:xfrm>
            <a:off x="3778526" y="6619461"/>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次の値と等しい 18">
            <a:extLst>
              <a:ext uri="{FF2B5EF4-FFF2-40B4-BE49-F238E27FC236}">
                <a16:creationId xmlns:a16="http://schemas.microsoft.com/office/drawing/2014/main" id="{11AC2CA6-C68A-A1C2-D38E-F5CBAE0C8AFD}"/>
              </a:ext>
            </a:extLst>
          </xdr:cNvPr>
          <xdr:cNvSpPr/>
        </xdr:nvSpPr>
        <xdr:spPr>
          <a:xfrm>
            <a:off x="5068956" y="6617804"/>
            <a:ext cx="447261" cy="389283"/>
          </a:xfrm>
          <a:prstGeom prst="mathEqua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nvGrpSpPr>
          <xdr:cNvPr id="55" name="グループ化 54">
            <a:extLst>
              <a:ext uri="{FF2B5EF4-FFF2-40B4-BE49-F238E27FC236}">
                <a16:creationId xmlns:a16="http://schemas.microsoft.com/office/drawing/2014/main" id="{7277AB5A-22C8-F846-81B4-038476EF330C}"/>
              </a:ext>
            </a:extLst>
          </xdr:cNvPr>
          <xdr:cNvGrpSpPr/>
        </xdr:nvGrpSpPr>
        <xdr:grpSpPr>
          <a:xfrm>
            <a:off x="5565912" y="6195391"/>
            <a:ext cx="2086387" cy="2913409"/>
            <a:chOff x="10899912" y="1449456"/>
            <a:chExt cx="2086387" cy="2913409"/>
          </a:xfrm>
        </xdr:grpSpPr>
        <xdr:pic>
          <xdr:nvPicPr>
            <xdr:cNvPr id="32" name="図 31">
              <a:extLst>
                <a:ext uri="{FF2B5EF4-FFF2-40B4-BE49-F238E27FC236}">
                  <a16:creationId xmlns:a16="http://schemas.microsoft.com/office/drawing/2014/main" id="{E101AEBE-0B8C-AFAD-6FC1-17A7E8553BB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899912" y="1449456"/>
              <a:ext cx="2077278" cy="1461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図 52">
              <a:extLst>
                <a:ext uri="{FF2B5EF4-FFF2-40B4-BE49-F238E27FC236}">
                  <a16:creationId xmlns:a16="http://schemas.microsoft.com/office/drawing/2014/main" id="{7E173A4E-C6C0-F64B-5D26-26F7AAD4A36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966171" y="3056283"/>
              <a:ext cx="2020128" cy="13065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6" name="次の値と等しい 55">
            <a:extLst>
              <a:ext uri="{FF2B5EF4-FFF2-40B4-BE49-F238E27FC236}">
                <a16:creationId xmlns:a16="http://schemas.microsoft.com/office/drawing/2014/main" id="{F6ECC977-6BA7-440E-BA79-A61963E9CE42}"/>
              </a:ext>
            </a:extLst>
          </xdr:cNvPr>
          <xdr:cNvSpPr/>
        </xdr:nvSpPr>
        <xdr:spPr>
          <a:xfrm>
            <a:off x="8978348" y="6617804"/>
            <a:ext cx="447261" cy="389283"/>
          </a:xfrm>
          <a:prstGeom prst="mathEqua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nvGrpSpPr>
          <xdr:cNvPr id="59" name="グループ化 58">
            <a:extLst>
              <a:ext uri="{FF2B5EF4-FFF2-40B4-BE49-F238E27FC236}">
                <a16:creationId xmlns:a16="http://schemas.microsoft.com/office/drawing/2014/main" id="{BB2C1088-980F-DDC5-816E-258A52541332}"/>
              </a:ext>
            </a:extLst>
          </xdr:cNvPr>
          <xdr:cNvGrpSpPr/>
        </xdr:nvGrpSpPr>
        <xdr:grpSpPr>
          <a:xfrm>
            <a:off x="9450457" y="6038022"/>
            <a:ext cx="4044398" cy="2674869"/>
            <a:chOff x="10187609" y="2517913"/>
            <a:chExt cx="4044398" cy="2674869"/>
          </a:xfrm>
        </xdr:grpSpPr>
        <xdr:pic>
          <xdr:nvPicPr>
            <xdr:cNvPr id="57" name="図 56">
              <a:extLst>
                <a:ext uri="{FF2B5EF4-FFF2-40B4-BE49-F238E27FC236}">
                  <a16:creationId xmlns:a16="http://schemas.microsoft.com/office/drawing/2014/main" id="{BCCB2297-3B08-D57B-3536-A3894A08EF2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187609" y="2517913"/>
              <a:ext cx="4044398" cy="14714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図 57">
              <a:extLst>
                <a:ext uri="{FF2B5EF4-FFF2-40B4-BE49-F238E27FC236}">
                  <a16:creationId xmlns:a16="http://schemas.microsoft.com/office/drawing/2014/main" id="{6DD1BD85-2665-DF58-1FF5-65D07AD0CF6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220739" y="4000500"/>
              <a:ext cx="3987248" cy="1192282"/>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xdr:col>
      <xdr:colOff>99391</xdr:colOff>
      <xdr:row>0</xdr:row>
      <xdr:rowOff>99393</xdr:rowOff>
    </xdr:from>
    <xdr:to>
      <xdr:col>11</xdr:col>
      <xdr:colOff>458442</xdr:colOff>
      <xdr:row>2</xdr:row>
      <xdr:rowOff>190501</xdr:rowOff>
    </xdr:to>
    <xdr:sp macro="" textlink="">
      <xdr:nvSpPr>
        <xdr:cNvPr id="8" name="正方形/長方形 7">
          <a:extLst>
            <a:ext uri="{FF2B5EF4-FFF2-40B4-BE49-F238E27FC236}">
              <a16:creationId xmlns:a16="http://schemas.microsoft.com/office/drawing/2014/main" id="{8263F5D2-F28A-419C-B4C7-C1412A17BCA8}"/>
            </a:ext>
          </a:extLst>
        </xdr:cNvPr>
        <xdr:cNvSpPr/>
      </xdr:nvSpPr>
      <xdr:spPr>
        <a:xfrm>
          <a:off x="480391" y="99393"/>
          <a:ext cx="6562725" cy="770282"/>
        </a:xfrm>
        <a:prstGeom prst="rect">
          <a:avLst/>
        </a:prstGeom>
        <a:solidFill>
          <a:srgbClr val="008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b="1" u="sng">
              <a:solidFill>
                <a:schemeClr val="bg1"/>
              </a:solidFill>
            </a:rPr>
            <a:t>キャリアアップ助成金（社会保険適用時処遇改善コース）</a:t>
          </a:r>
          <a:endParaRPr kumimoji="1" lang="en-US" altLang="ja-JP" sz="1600" b="1" u="sng">
            <a:solidFill>
              <a:schemeClr val="bg1"/>
            </a:solidFill>
          </a:endParaRPr>
        </a:p>
        <a:p>
          <a:pPr algn="ctr"/>
          <a:r>
            <a:rPr kumimoji="1" lang="ja-JP" altLang="en-US" sz="1600" b="1" u="sng">
              <a:solidFill>
                <a:schemeClr val="bg1"/>
              </a:solidFill>
            </a:rPr>
            <a:t>活用シミュレーションソフト</a:t>
          </a:r>
          <a:endParaRPr kumimoji="1" lang="en-US" altLang="ja-JP" sz="1600" b="1" u="sng">
            <a:solidFill>
              <a:schemeClr val="bg1"/>
            </a:solidFill>
          </a:endParaRPr>
        </a:p>
      </xdr:txBody>
    </xdr:sp>
    <xdr:clientData/>
  </xdr:twoCellAnchor>
  <xdr:twoCellAnchor>
    <xdr:from>
      <xdr:col>12</xdr:col>
      <xdr:colOff>221559</xdr:colOff>
      <xdr:row>1</xdr:row>
      <xdr:rowOff>307700</xdr:rowOff>
    </xdr:from>
    <xdr:to>
      <xdr:col>16</xdr:col>
      <xdr:colOff>3576</xdr:colOff>
      <xdr:row>2</xdr:row>
      <xdr:rowOff>171489</xdr:rowOff>
    </xdr:to>
    <xdr:sp macro="" textlink="">
      <xdr:nvSpPr>
        <xdr:cNvPr id="18" name="四角形: 角を丸くする 17">
          <a:extLst>
            <a:ext uri="{FF2B5EF4-FFF2-40B4-BE49-F238E27FC236}">
              <a16:creationId xmlns:a16="http://schemas.microsoft.com/office/drawing/2014/main" id="{7508AB8F-E5DE-482E-8398-BA255F855E45}"/>
            </a:ext>
          </a:extLst>
        </xdr:cNvPr>
        <xdr:cNvSpPr/>
      </xdr:nvSpPr>
      <xdr:spPr>
        <a:xfrm>
          <a:off x="7479609" y="479150"/>
          <a:ext cx="2525217" cy="368614"/>
        </a:xfrm>
        <a:prstGeom prst="roundRect">
          <a:avLst/>
        </a:prstGeom>
        <a:solidFill>
          <a:srgbClr val="006C31"/>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労働時間延長メニュー</a:t>
          </a:r>
        </a:p>
      </xdr:txBody>
    </xdr:sp>
    <xdr:clientData/>
  </xdr:twoCellAnchor>
  <xdr:twoCellAnchor editAs="oneCell">
    <xdr:from>
      <xdr:col>4</xdr:col>
      <xdr:colOff>291666</xdr:colOff>
      <xdr:row>20</xdr:row>
      <xdr:rowOff>279015</xdr:rowOff>
    </xdr:from>
    <xdr:to>
      <xdr:col>17</xdr:col>
      <xdr:colOff>584014</xdr:colOff>
      <xdr:row>28</xdr:row>
      <xdr:rowOff>0</xdr:rowOff>
    </xdr:to>
    <xdr:pic>
      <xdr:nvPicPr>
        <xdr:cNvPr id="40" name="図 39">
          <a:extLst>
            <a:ext uri="{FF2B5EF4-FFF2-40B4-BE49-F238E27FC236}">
              <a16:creationId xmlns:a16="http://schemas.microsoft.com/office/drawing/2014/main" id="{AC4F8258-6578-540D-DC99-E76601C8E80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72816" y="6965565"/>
          <a:ext cx="9398248" cy="345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52</xdr:row>
      <xdr:rowOff>219075</xdr:rowOff>
    </xdr:from>
    <xdr:to>
      <xdr:col>22</xdr:col>
      <xdr:colOff>352425</xdr:colOff>
      <xdr:row>58</xdr:row>
      <xdr:rowOff>85724</xdr:rowOff>
    </xdr:to>
    <xdr:grpSp>
      <xdr:nvGrpSpPr>
        <xdr:cNvPr id="4" name="グループ化 3">
          <a:extLst>
            <a:ext uri="{FF2B5EF4-FFF2-40B4-BE49-F238E27FC236}">
              <a16:creationId xmlns:a16="http://schemas.microsoft.com/office/drawing/2014/main" id="{A964E764-484E-42ED-92F6-7EEAF058B734}"/>
            </a:ext>
          </a:extLst>
        </xdr:cNvPr>
        <xdr:cNvGrpSpPr/>
      </xdr:nvGrpSpPr>
      <xdr:grpSpPr>
        <a:xfrm>
          <a:off x="495300" y="18221325"/>
          <a:ext cx="13973175" cy="1428749"/>
          <a:chOff x="438150" y="11820525"/>
          <a:chExt cx="13973175" cy="1428749"/>
        </a:xfrm>
      </xdr:grpSpPr>
      <xdr:pic>
        <xdr:nvPicPr>
          <xdr:cNvPr id="7" name="図 6">
            <a:extLst>
              <a:ext uri="{FF2B5EF4-FFF2-40B4-BE49-F238E27FC236}">
                <a16:creationId xmlns:a16="http://schemas.microsoft.com/office/drawing/2014/main" id="{61627D42-EB0E-980B-4A74-CC4760F3AC9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38150" y="11947095"/>
            <a:ext cx="13839825" cy="13021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正方形/長方形 51">
            <a:extLst>
              <a:ext uri="{FF2B5EF4-FFF2-40B4-BE49-F238E27FC236}">
                <a16:creationId xmlns:a16="http://schemas.microsoft.com/office/drawing/2014/main" id="{101A3408-ABAC-94C3-9B67-AED404C58C03}"/>
              </a:ext>
            </a:extLst>
          </xdr:cNvPr>
          <xdr:cNvSpPr/>
        </xdr:nvSpPr>
        <xdr:spPr>
          <a:xfrm>
            <a:off x="13830300" y="11820525"/>
            <a:ext cx="581025" cy="2381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28575</xdr:colOff>
      <xdr:row>138</xdr:row>
      <xdr:rowOff>91016</xdr:rowOff>
    </xdr:from>
    <xdr:to>
      <xdr:col>28</xdr:col>
      <xdr:colOff>371477</xdr:colOff>
      <xdr:row>152</xdr:row>
      <xdr:rowOff>266699</xdr:rowOff>
    </xdr:to>
    <xdr:pic>
      <xdr:nvPicPr>
        <xdr:cNvPr id="11" name="図 10">
          <a:extLst>
            <a:ext uri="{FF2B5EF4-FFF2-40B4-BE49-F238E27FC236}">
              <a16:creationId xmlns:a16="http://schemas.microsoft.com/office/drawing/2014/main" id="{43ECDD20-86BC-410D-BBE8-62E885900C6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9575" y="34514366"/>
          <a:ext cx="18192752" cy="4042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502199</xdr:colOff>
      <xdr:row>3</xdr:row>
      <xdr:rowOff>6349</xdr:rowOff>
    </xdr:from>
    <xdr:to>
      <xdr:col>29</xdr:col>
      <xdr:colOff>193673</xdr:colOff>
      <xdr:row>24</xdr:row>
      <xdr:rowOff>222250</xdr:rowOff>
    </xdr:to>
    <xdr:grpSp>
      <xdr:nvGrpSpPr>
        <xdr:cNvPr id="13" name="グループ化 12">
          <a:extLst>
            <a:ext uri="{FF2B5EF4-FFF2-40B4-BE49-F238E27FC236}">
              <a16:creationId xmlns:a16="http://schemas.microsoft.com/office/drawing/2014/main" id="{98DE9B37-900A-4282-AC3B-328A7560C00E}"/>
            </a:ext>
          </a:extLst>
        </xdr:cNvPr>
        <xdr:cNvGrpSpPr/>
      </xdr:nvGrpSpPr>
      <xdr:grpSpPr>
        <a:xfrm>
          <a:off x="12560849" y="977899"/>
          <a:ext cx="6549474" cy="7797801"/>
          <a:chOff x="13927458" y="219075"/>
          <a:chExt cx="5179692" cy="6181724"/>
        </a:xfrm>
      </xdr:grpSpPr>
      <xdr:grpSp>
        <xdr:nvGrpSpPr>
          <xdr:cNvPr id="16" name="グループ化 15">
            <a:extLst>
              <a:ext uri="{FF2B5EF4-FFF2-40B4-BE49-F238E27FC236}">
                <a16:creationId xmlns:a16="http://schemas.microsoft.com/office/drawing/2014/main" id="{087EAFB7-78EA-328A-BB68-A875905AB1FB}"/>
              </a:ext>
            </a:extLst>
          </xdr:cNvPr>
          <xdr:cNvGrpSpPr/>
        </xdr:nvGrpSpPr>
        <xdr:grpSpPr>
          <a:xfrm>
            <a:off x="13973175" y="219075"/>
            <a:ext cx="5124450" cy="5362376"/>
            <a:chOff x="6000750" y="13839825"/>
            <a:chExt cx="5124450" cy="5362376"/>
          </a:xfrm>
        </xdr:grpSpPr>
        <xdr:grpSp>
          <xdr:nvGrpSpPr>
            <xdr:cNvPr id="28" name="グループ化 27">
              <a:extLst>
                <a:ext uri="{FF2B5EF4-FFF2-40B4-BE49-F238E27FC236}">
                  <a16:creationId xmlns:a16="http://schemas.microsoft.com/office/drawing/2014/main" id="{F50A5CD3-DD04-7A67-752A-A36C903D5AF6}"/>
                </a:ext>
              </a:extLst>
            </xdr:cNvPr>
            <xdr:cNvGrpSpPr/>
          </xdr:nvGrpSpPr>
          <xdr:grpSpPr>
            <a:xfrm>
              <a:off x="6000750" y="18420751"/>
              <a:ext cx="5114925" cy="781450"/>
              <a:chOff x="6000750" y="18420751"/>
              <a:chExt cx="5114925" cy="781450"/>
            </a:xfrm>
          </xdr:grpSpPr>
          <xdr:pic>
            <xdr:nvPicPr>
              <xdr:cNvPr id="30" name="図 29">
                <a:extLst>
                  <a:ext uri="{FF2B5EF4-FFF2-40B4-BE49-F238E27FC236}">
                    <a16:creationId xmlns:a16="http://schemas.microsoft.com/office/drawing/2014/main" id="{E50C8969-283F-3B83-DC8A-E0FFB232859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53289" y="18485550"/>
                <a:ext cx="1371611" cy="5964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図 30">
                <a:extLst>
                  <a:ext uri="{FF2B5EF4-FFF2-40B4-BE49-F238E27FC236}">
                    <a16:creationId xmlns:a16="http://schemas.microsoft.com/office/drawing/2014/main" id="{49742BE8-5F6C-0255-4609-7B2D5C1C851A}"/>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762719" y="18461014"/>
                <a:ext cx="1162331" cy="5606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図 32">
                <a:extLst>
                  <a:ext uri="{FF2B5EF4-FFF2-40B4-BE49-F238E27FC236}">
                    <a16:creationId xmlns:a16="http://schemas.microsoft.com/office/drawing/2014/main" id="{9D70A007-C230-CBF4-FEFD-53008FE4E48D}"/>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982468" y="18420751"/>
                <a:ext cx="1133207" cy="7814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図 33">
                <a:extLst>
                  <a:ext uri="{FF2B5EF4-FFF2-40B4-BE49-F238E27FC236}">
                    <a16:creationId xmlns:a16="http://schemas.microsoft.com/office/drawing/2014/main" id="{C0B50364-5F6E-738F-9A66-78A29873F0E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00750" y="18446680"/>
                <a:ext cx="1343025" cy="668237"/>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29" name="図 28">
              <a:extLst>
                <a:ext uri="{FF2B5EF4-FFF2-40B4-BE49-F238E27FC236}">
                  <a16:creationId xmlns:a16="http://schemas.microsoft.com/office/drawing/2014/main" id="{0E806FC3-C854-35EB-812F-050AB267580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19800" y="13839825"/>
              <a:ext cx="5105400" cy="4629150"/>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7" name="図 16">
            <a:extLst>
              <a:ext uri="{FF2B5EF4-FFF2-40B4-BE49-F238E27FC236}">
                <a16:creationId xmlns:a16="http://schemas.microsoft.com/office/drawing/2014/main" id="{86F540F6-6F09-694D-F9FF-D8D0EAEE95D8}"/>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944600" y="5477082"/>
            <a:ext cx="5162550" cy="923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楕円 26">
            <a:extLst>
              <a:ext uri="{FF2B5EF4-FFF2-40B4-BE49-F238E27FC236}">
                <a16:creationId xmlns:a16="http://schemas.microsoft.com/office/drawing/2014/main" id="{A352FD8B-BAC3-02FB-4296-CFA6EAD49EA8}"/>
              </a:ext>
            </a:extLst>
          </xdr:cNvPr>
          <xdr:cNvSpPr/>
        </xdr:nvSpPr>
        <xdr:spPr>
          <a:xfrm>
            <a:off x="13927458" y="4820130"/>
            <a:ext cx="1466850" cy="658718"/>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114300</xdr:colOff>
      <xdr:row>17</xdr:row>
      <xdr:rowOff>161925</xdr:rowOff>
    </xdr:from>
    <xdr:to>
      <xdr:col>5</xdr:col>
      <xdr:colOff>576884</xdr:colOff>
      <xdr:row>20</xdr:row>
      <xdr:rowOff>4417</xdr:rowOff>
    </xdr:to>
    <xdr:sp macro="" textlink="">
      <xdr:nvSpPr>
        <xdr:cNvPr id="35" name="四角形: 角を丸くする 34">
          <a:extLst>
            <a:ext uri="{FF2B5EF4-FFF2-40B4-BE49-F238E27FC236}">
              <a16:creationId xmlns:a16="http://schemas.microsoft.com/office/drawing/2014/main" id="{75FA2E3C-2036-44F2-80C8-34390BF0E203}"/>
            </a:ext>
          </a:extLst>
        </xdr:cNvPr>
        <xdr:cNvSpPr/>
      </xdr:nvSpPr>
      <xdr:spPr>
        <a:xfrm>
          <a:off x="1009650" y="5448300"/>
          <a:ext cx="1834184" cy="1242667"/>
        </a:xfrm>
        <a:prstGeom prst="roundRect">
          <a:avLst/>
        </a:prstGeom>
        <a:solidFill>
          <a:srgbClr val="00B050"/>
        </a:solidFill>
        <a:ln>
          <a:solidFill>
            <a:srgbClr val="33993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t>労働時間延長メニュー概要</a:t>
          </a:r>
        </a:p>
      </xdr:txBody>
    </xdr:sp>
    <xdr:clientData/>
  </xdr:twoCellAnchor>
  <xdr:twoCellAnchor editAs="oneCell">
    <xdr:from>
      <xdr:col>3</xdr:col>
      <xdr:colOff>85725</xdr:colOff>
      <xdr:row>115</xdr:row>
      <xdr:rowOff>29831</xdr:rowOff>
    </xdr:from>
    <xdr:to>
      <xdr:col>21</xdr:col>
      <xdr:colOff>457200</xdr:colOff>
      <xdr:row>134</xdr:row>
      <xdr:rowOff>209550</xdr:rowOff>
    </xdr:to>
    <xdr:pic>
      <xdr:nvPicPr>
        <xdr:cNvPr id="26" name="図 25">
          <a:extLst>
            <a:ext uri="{FF2B5EF4-FFF2-40B4-BE49-F238E27FC236}">
              <a16:creationId xmlns:a16="http://schemas.microsoft.com/office/drawing/2014/main" id="{017C3998-B182-81CB-A1B5-8C4110625DE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81075" y="35091356"/>
          <a:ext cx="12906375" cy="5427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504825</xdr:colOff>
      <xdr:row>34</xdr:row>
      <xdr:rowOff>0</xdr:rowOff>
    </xdr:from>
    <xdr:to>
      <xdr:col>21</xdr:col>
      <xdr:colOff>133350</xdr:colOff>
      <xdr:row>35</xdr:row>
      <xdr:rowOff>104775</xdr:rowOff>
    </xdr:to>
    <xdr:sp macro="" textlink="">
      <xdr:nvSpPr>
        <xdr:cNvPr id="12" name="テキスト ボックス 11">
          <a:extLst>
            <a:ext uri="{FF2B5EF4-FFF2-40B4-BE49-F238E27FC236}">
              <a16:creationId xmlns:a16="http://schemas.microsoft.com/office/drawing/2014/main" id="{89D030AF-BB99-4CD6-9155-E0EC552DB34C}"/>
            </a:ext>
          </a:extLst>
        </xdr:cNvPr>
        <xdr:cNvSpPr txBox="1"/>
      </xdr:nvSpPr>
      <xdr:spPr>
        <a:xfrm>
          <a:off x="8448675" y="12858750"/>
          <a:ext cx="5114925" cy="390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0000FF"/>
              </a:solidFill>
            </a:rPr>
            <a:t>◇このソフトでの算出データは目安としてご利用下さい。</a:t>
          </a:r>
        </a:p>
      </xdr:txBody>
    </xdr:sp>
    <xdr:clientData/>
  </xdr:twoCellAnchor>
  <xdr:twoCellAnchor>
    <xdr:from>
      <xdr:col>19</xdr:col>
      <xdr:colOff>344180</xdr:colOff>
      <xdr:row>25</xdr:row>
      <xdr:rowOff>47625</xdr:rowOff>
    </xdr:from>
    <xdr:to>
      <xdr:col>25</xdr:col>
      <xdr:colOff>534681</xdr:colOff>
      <xdr:row>27</xdr:row>
      <xdr:rowOff>0</xdr:rowOff>
    </xdr:to>
    <xdr:sp macro="" textlink="">
      <xdr:nvSpPr>
        <xdr:cNvPr id="41" name="四角形: 角を丸くする 40">
          <a:extLst>
            <a:ext uri="{FF2B5EF4-FFF2-40B4-BE49-F238E27FC236}">
              <a16:creationId xmlns:a16="http://schemas.microsoft.com/office/drawing/2014/main" id="{9C119C07-F4D5-4403-96CC-5D79932FD4FA}"/>
            </a:ext>
          </a:extLst>
        </xdr:cNvPr>
        <xdr:cNvSpPr/>
      </xdr:nvSpPr>
      <xdr:spPr>
        <a:xfrm>
          <a:off x="12402830" y="9067800"/>
          <a:ext cx="4305301" cy="885825"/>
        </a:xfrm>
        <a:prstGeom prst="roundRect">
          <a:avLst/>
        </a:prstGeom>
        <a:solidFill>
          <a:srgbClr val="FF9900"/>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288000" rtlCol="0" anchor="ctr" anchorCtr="0"/>
        <a:lstStyle/>
        <a:p>
          <a:r>
            <a:rPr kumimoji="1" lang="ja-JP" altLang="ja-JP" sz="2000" b="1">
              <a:solidFill>
                <a:schemeClr val="bg1"/>
              </a:solidFill>
              <a:effectLst/>
              <a:latin typeface="+mn-lt"/>
              <a:ea typeface="+mn-ea"/>
              <a:cs typeface="+mn-cs"/>
            </a:rPr>
            <a:t>就業規則を改定する必要なし！</a:t>
          </a:r>
          <a:endParaRPr lang="ja-JP" altLang="ja-JP" sz="2000">
            <a:solidFill>
              <a:schemeClr val="bg1"/>
            </a:solidFill>
            <a:effectLst/>
          </a:endParaRPr>
        </a:p>
      </xdr:txBody>
    </xdr:sp>
    <xdr:clientData/>
  </xdr:twoCellAnchor>
  <xdr:twoCellAnchor>
    <xdr:from>
      <xdr:col>4</xdr:col>
      <xdr:colOff>209550</xdr:colOff>
      <xdr:row>28</xdr:row>
      <xdr:rowOff>304800</xdr:rowOff>
    </xdr:from>
    <xdr:to>
      <xdr:col>18</xdr:col>
      <xdr:colOff>47625</xdr:colOff>
      <xdr:row>29</xdr:row>
      <xdr:rowOff>294640</xdr:rowOff>
    </xdr:to>
    <xdr:sp macro="" textlink="">
      <xdr:nvSpPr>
        <xdr:cNvPr id="37" name="テキスト ボックス 37">
          <a:extLst>
            <a:ext uri="{FF2B5EF4-FFF2-40B4-BE49-F238E27FC236}">
              <a16:creationId xmlns:a16="http://schemas.microsoft.com/office/drawing/2014/main" id="{D1145C2B-C026-7E37-0B52-C9A1951771FB}"/>
            </a:ext>
          </a:extLst>
        </xdr:cNvPr>
        <xdr:cNvSpPr txBox="1"/>
      </xdr:nvSpPr>
      <xdr:spPr>
        <a:xfrm>
          <a:off x="1790700" y="10725150"/>
          <a:ext cx="9629775" cy="456565"/>
        </a:xfrm>
        <a:prstGeom prst="rect">
          <a:avLst/>
        </a:prstGeom>
        <a:solidFill>
          <a:srgbClr val="FF9900"/>
        </a:solidFill>
        <a:ln w="9525" cmpd="sng">
          <a:solidFill>
            <a:srgbClr val="FF9900"/>
          </a:solidFill>
        </a:ln>
      </xdr:spPr>
      <xdr:style>
        <a:lnRef idx="0">
          <a:scrgbClr r="0" g="0" b="0"/>
        </a:lnRef>
        <a:fillRef idx="0">
          <a:scrgbClr r="0" g="0" b="0"/>
        </a:fillRef>
        <a:effectRef idx="0">
          <a:scrgbClr r="0" g="0" b="0"/>
        </a:effectRef>
        <a:fontRef idx="minor">
          <a:schemeClr val="dk1"/>
        </a:fontRef>
      </xdr:style>
      <xdr:txBody>
        <a:bodyPr wrap="square" lIns="144000" rtlCol="0" anchor="ctr" anchorCtr="0">
          <a:noAutofit/>
        </a:bodyPr>
        <a:lstStyle/>
        <a:p>
          <a:pPr algn="just">
            <a:lnSpc>
              <a:spcPts val="1500"/>
            </a:lnSpc>
          </a:pPr>
          <a:r>
            <a:rPr lang="ja-JP" sz="1800" b="1" kern="100">
              <a:solidFill>
                <a:srgbClr val="FFFFFF"/>
              </a:solidFill>
              <a:effectLst/>
              <a:latin typeface="ＭＳ 明朝" panose="02020609040205080304" pitchFamily="17" charset="-128"/>
              <a:ea typeface="ＭＳ Ｐゴシック" panose="020B0600070205080204" pitchFamily="50" charset="-128"/>
              <a:cs typeface="Times New Roman" panose="02020603050405020304" pitchFamily="18" charset="0"/>
            </a:rPr>
            <a:t>社会保険加入者１０１名以上（１０６万円の壁）・１００名以下企業（１３０万円の壁）共に活用可能！</a:t>
          </a:r>
          <a:endParaRPr lang="ja-JP" sz="1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editAs="oneCell">
    <xdr:from>
      <xdr:col>2</xdr:col>
      <xdr:colOff>514348</xdr:colOff>
      <xdr:row>157</xdr:row>
      <xdr:rowOff>276224</xdr:rowOff>
    </xdr:from>
    <xdr:to>
      <xdr:col>27</xdr:col>
      <xdr:colOff>466725</xdr:colOff>
      <xdr:row>181</xdr:row>
      <xdr:rowOff>76199</xdr:rowOff>
    </xdr:to>
    <xdr:pic>
      <xdr:nvPicPr>
        <xdr:cNvPr id="46" name="図 45">
          <a:extLst>
            <a:ext uri="{FF2B5EF4-FFF2-40B4-BE49-F238E27FC236}">
              <a16:creationId xmlns:a16="http://schemas.microsoft.com/office/drawing/2014/main" id="{2077E28A-C404-F65B-64E6-2A36F46CA3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895348" y="46662974"/>
          <a:ext cx="17116427" cy="64293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95250</xdr:rowOff>
    </xdr:from>
    <xdr:to>
      <xdr:col>3</xdr:col>
      <xdr:colOff>650297</xdr:colOff>
      <xdr:row>1</xdr:row>
      <xdr:rowOff>207819</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9C1948C9-20A8-4CD9-9FCE-F8561B86E34A}"/>
            </a:ext>
          </a:extLst>
        </xdr:cNvPr>
        <xdr:cNvSpPr/>
      </xdr:nvSpPr>
      <xdr:spPr>
        <a:xfrm flipH="1">
          <a:off x="295275" y="95250"/>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554183</xdr:colOff>
      <xdr:row>0</xdr:row>
      <xdr:rowOff>173182</xdr:rowOff>
    </xdr:from>
    <xdr:to>
      <xdr:col>26</xdr:col>
      <xdr:colOff>874569</xdr:colOff>
      <xdr:row>2</xdr:row>
      <xdr:rowOff>121228</xdr:rowOff>
    </xdr:to>
    <xdr:sp macro="" textlink="">
      <xdr:nvSpPr>
        <xdr:cNvPr id="3" name="吹き出し: 折線 2">
          <a:extLst>
            <a:ext uri="{FF2B5EF4-FFF2-40B4-BE49-F238E27FC236}">
              <a16:creationId xmlns:a16="http://schemas.microsoft.com/office/drawing/2014/main" id="{782176BE-0722-49D1-BDC7-0C467B8BD633}"/>
            </a:ext>
          </a:extLst>
        </xdr:cNvPr>
        <xdr:cNvSpPr/>
      </xdr:nvSpPr>
      <xdr:spPr>
        <a:xfrm>
          <a:off x="16641908" y="173182"/>
          <a:ext cx="3606511" cy="538596"/>
        </a:xfrm>
        <a:prstGeom prst="borderCallout2">
          <a:avLst>
            <a:gd name="adj1" fmla="val 106885"/>
            <a:gd name="adj2" fmla="val 29167"/>
            <a:gd name="adj3" fmla="val 151722"/>
            <a:gd name="adj4" fmla="val 26603"/>
            <a:gd name="adj5" fmla="val 311379"/>
            <a:gd name="adj6" fmla="val 1030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諸手当の呼称は実態に合わせて変更して下さい！</a:t>
          </a:r>
          <a:endParaRPr kumimoji="1" lang="en-US" altLang="ja-JP" sz="1200" b="1">
            <a:solidFill>
              <a:schemeClr val="tx1"/>
            </a:solidFill>
          </a:endParaRPr>
        </a:p>
        <a:p>
          <a:pPr algn="l"/>
          <a:r>
            <a:rPr kumimoji="1" lang="ja-JP" altLang="en-US" sz="1200" b="1">
              <a:solidFill>
                <a:schemeClr val="tx1"/>
              </a:solidFill>
            </a:rPr>
            <a:t>その際、</a:t>
          </a:r>
          <a:r>
            <a:rPr kumimoji="1" lang="ja-JP" altLang="en-US" sz="1200" b="1" u="sng">
              <a:solidFill>
                <a:srgbClr val="FF0000"/>
              </a:solidFill>
            </a:rPr>
            <a:t>算定対象となる区分に注意して下さい！</a:t>
          </a:r>
        </a:p>
      </xdr:txBody>
    </xdr:sp>
    <xdr:clientData/>
  </xdr:twoCellAnchor>
  <xdr:twoCellAnchor>
    <xdr:from>
      <xdr:col>0</xdr:col>
      <xdr:colOff>0</xdr:colOff>
      <xdr:row>0</xdr:row>
      <xdr:rowOff>25977</xdr:rowOff>
    </xdr:from>
    <xdr:to>
      <xdr:col>2</xdr:col>
      <xdr:colOff>830406</xdr:colOff>
      <xdr:row>1</xdr:row>
      <xdr:rowOff>58882</xdr:rowOff>
    </xdr:to>
    <xdr:sp macro="" textlink="">
      <xdr:nvSpPr>
        <xdr:cNvPr id="5" name="矢印: 五方向 4">
          <a:hlinkClick xmlns:r="http://schemas.openxmlformats.org/officeDocument/2006/relationships" r:id="rId1"/>
          <a:extLst>
            <a:ext uri="{FF2B5EF4-FFF2-40B4-BE49-F238E27FC236}">
              <a16:creationId xmlns:a16="http://schemas.microsoft.com/office/drawing/2014/main" id="{D80BF578-B4A9-4DB3-AD59-6DCEA01EC76F}"/>
            </a:ext>
          </a:extLst>
        </xdr:cNvPr>
        <xdr:cNvSpPr/>
      </xdr:nvSpPr>
      <xdr:spPr>
        <a:xfrm flipH="1">
          <a:off x="0" y="25977"/>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5</xdr:col>
      <xdr:colOff>60614</xdr:colOff>
      <xdr:row>2</xdr:row>
      <xdr:rowOff>95249</xdr:rowOff>
    </xdr:from>
    <xdr:to>
      <xdr:col>7</xdr:col>
      <xdr:colOff>199160</xdr:colOff>
      <xdr:row>4</xdr:row>
      <xdr:rowOff>190498</xdr:rowOff>
    </xdr:to>
    <xdr:sp macro="" textlink="">
      <xdr:nvSpPr>
        <xdr:cNvPr id="6" name="吹き出し: 折線 5">
          <a:extLst>
            <a:ext uri="{FF2B5EF4-FFF2-40B4-BE49-F238E27FC236}">
              <a16:creationId xmlns:a16="http://schemas.microsoft.com/office/drawing/2014/main" id="{228783A0-29D2-480C-85D3-FA908016A365}"/>
            </a:ext>
          </a:extLst>
        </xdr:cNvPr>
        <xdr:cNvSpPr/>
      </xdr:nvSpPr>
      <xdr:spPr>
        <a:xfrm>
          <a:off x="3801341" y="692726"/>
          <a:ext cx="1974274" cy="510886"/>
        </a:xfrm>
        <a:prstGeom prst="borderCallout2">
          <a:avLst>
            <a:gd name="adj1" fmla="val 106885"/>
            <a:gd name="adj2" fmla="val 29167"/>
            <a:gd name="adj3" fmla="val 128920"/>
            <a:gd name="adj4" fmla="val 9775"/>
            <a:gd name="adj5" fmla="val 312501"/>
            <a:gd name="adj6" fmla="val -128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記入例は削除してお使い</a:t>
          </a:r>
          <a:endParaRPr kumimoji="1" lang="en-US" altLang="ja-JP" sz="1200" b="1">
            <a:solidFill>
              <a:schemeClr val="tx1"/>
            </a:solidFill>
          </a:endParaRPr>
        </a:p>
        <a:p>
          <a:pPr algn="l"/>
          <a:r>
            <a:rPr kumimoji="1" lang="ja-JP" altLang="en-US" sz="1200" b="1">
              <a:solidFill>
                <a:schemeClr val="tx1"/>
              </a:solidFill>
            </a:rPr>
            <a:t>ください！</a:t>
          </a:r>
        </a:p>
      </xdr:txBody>
    </xdr:sp>
    <xdr:clientData/>
  </xdr:twoCellAnchor>
  <xdr:twoCellAnchor>
    <xdr:from>
      <xdr:col>13</xdr:col>
      <xdr:colOff>736023</xdr:colOff>
      <xdr:row>0</xdr:row>
      <xdr:rowOff>69271</xdr:rowOff>
    </xdr:from>
    <xdr:to>
      <xdr:col>21</xdr:col>
      <xdr:colOff>155864</xdr:colOff>
      <xdr:row>4</xdr:row>
      <xdr:rowOff>155862</xdr:rowOff>
    </xdr:to>
    <xdr:grpSp>
      <xdr:nvGrpSpPr>
        <xdr:cNvPr id="2" name="グループ化 1">
          <a:extLst>
            <a:ext uri="{FF2B5EF4-FFF2-40B4-BE49-F238E27FC236}">
              <a16:creationId xmlns:a16="http://schemas.microsoft.com/office/drawing/2014/main" id="{BFA39793-4CFA-439F-9A23-06439D4EBFF7}"/>
            </a:ext>
          </a:extLst>
        </xdr:cNvPr>
        <xdr:cNvGrpSpPr/>
      </xdr:nvGrpSpPr>
      <xdr:grpSpPr>
        <a:xfrm>
          <a:off x="9832398" y="69271"/>
          <a:ext cx="6363566" cy="1096241"/>
          <a:chOff x="5637069" y="-147205"/>
          <a:chExt cx="4789705" cy="952500"/>
        </a:xfrm>
      </xdr:grpSpPr>
      <xdr:sp macro="" textlink="">
        <xdr:nvSpPr>
          <xdr:cNvPr id="7" name="矢印: 下 6">
            <a:extLst>
              <a:ext uri="{FF2B5EF4-FFF2-40B4-BE49-F238E27FC236}">
                <a16:creationId xmlns:a16="http://schemas.microsoft.com/office/drawing/2014/main" id="{2519304B-0DAD-0588-454F-AA359104B262}"/>
              </a:ext>
            </a:extLst>
          </xdr:cNvPr>
          <xdr:cNvSpPr/>
        </xdr:nvSpPr>
        <xdr:spPr>
          <a:xfrm rot="5400000">
            <a:off x="5621914" y="196997"/>
            <a:ext cx="229467" cy="199158"/>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74311DDC-CE8F-C30B-970B-4976A3FEFCF4}"/>
              </a:ext>
            </a:extLst>
          </xdr:cNvPr>
          <xdr:cNvSpPr txBox="1"/>
        </xdr:nvSpPr>
        <xdr:spPr>
          <a:xfrm>
            <a:off x="5851475" y="-147205"/>
            <a:ext cx="4575299" cy="952500"/>
          </a:xfrm>
          <a:prstGeom prst="rect">
            <a:avLst/>
          </a:prstGeom>
          <a:solidFill>
            <a:schemeClr val="lt1"/>
          </a:solidFill>
          <a:ln w="2857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solidFill>
                  <a:schemeClr val="tx1"/>
                </a:solidFill>
              </a:rPr>
              <a:t>被保険者数の区分に従って「１・２・３」のいずれかの数字を手入力してします！</a:t>
            </a:r>
            <a:endParaRPr kumimoji="1" lang="en-US" altLang="ja-JP" sz="1200" b="1" u="sng">
              <a:solidFill>
                <a:schemeClr val="tx1"/>
              </a:solidFill>
            </a:endParaRPr>
          </a:p>
          <a:p>
            <a:r>
              <a:rPr kumimoji="1" lang="ja-JP" altLang="en-US" sz="1200" b="1">
                <a:solidFill>
                  <a:srgbClr val="3333FF"/>
                </a:solidFill>
              </a:rPr>
              <a:t>　「１」</a:t>
            </a:r>
            <a:r>
              <a:rPr kumimoji="1" lang="ja-JP" altLang="en-US" sz="1200" b="1">
                <a:solidFill>
                  <a:schemeClr val="tx1"/>
                </a:solidFill>
              </a:rPr>
              <a:t>：５０人以下の会社（当面は社会保険適用拡大が未適用）</a:t>
            </a:r>
            <a:endParaRPr kumimoji="1" lang="en-US" altLang="ja-JP" sz="1200" b="1">
              <a:solidFill>
                <a:schemeClr val="tx1"/>
              </a:solidFill>
            </a:endParaRPr>
          </a:p>
          <a:p>
            <a:r>
              <a:rPr kumimoji="1" lang="ja-JP" altLang="en-US" sz="1200" b="1">
                <a:solidFill>
                  <a:schemeClr val="tx1"/>
                </a:solidFill>
              </a:rPr>
              <a:t>　</a:t>
            </a:r>
            <a:r>
              <a:rPr kumimoji="1" lang="ja-JP" altLang="en-US" sz="1200" b="1">
                <a:solidFill>
                  <a:srgbClr val="3333FF"/>
                </a:solidFill>
              </a:rPr>
              <a:t>「２」</a:t>
            </a:r>
            <a:r>
              <a:rPr kumimoji="1" lang="ja-JP" altLang="en-US" sz="1200" b="1">
                <a:solidFill>
                  <a:schemeClr val="tx1"/>
                </a:solidFill>
              </a:rPr>
              <a:t>：５１人以上１００人以下の会社（</a:t>
            </a:r>
            <a:r>
              <a:rPr kumimoji="1" lang="en-US" altLang="ja-JP" sz="1200" b="1">
                <a:solidFill>
                  <a:schemeClr val="tx1"/>
                </a:solidFill>
              </a:rPr>
              <a:t>2024.10.1</a:t>
            </a:r>
            <a:r>
              <a:rPr kumimoji="1" lang="ja-JP" altLang="en-US" sz="1200" b="1">
                <a:solidFill>
                  <a:schemeClr val="tx1"/>
                </a:solidFill>
              </a:rPr>
              <a:t>からの社会保険適用拡大が決まっている）</a:t>
            </a:r>
            <a:endParaRPr kumimoji="1" lang="en-US" altLang="ja-JP" sz="1200" b="1">
              <a:solidFill>
                <a:schemeClr val="tx1"/>
              </a:solidFill>
            </a:endParaRPr>
          </a:p>
          <a:p>
            <a:r>
              <a:rPr kumimoji="1" lang="ja-JP" altLang="en-US" sz="1200" b="1">
                <a:solidFill>
                  <a:schemeClr val="tx1"/>
                </a:solidFill>
              </a:rPr>
              <a:t>　　　　</a:t>
            </a:r>
            <a:r>
              <a:rPr kumimoji="1" lang="ja-JP" altLang="en-US" sz="1200" b="1" u="sng">
                <a:solidFill>
                  <a:srgbClr val="FF0000"/>
                </a:solidFill>
              </a:rPr>
              <a:t>２０２５．１０．１</a:t>
            </a:r>
            <a:r>
              <a:rPr kumimoji="1" lang="ja-JP" altLang="en-US" sz="1200" b="1">
                <a:solidFill>
                  <a:srgbClr val="FF0000"/>
                </a:solidFill>
              </a:rPr>
              <a:t>からは</a:t>
            </a:r>
            <a:r>
              <a:rPr kumimoji="1" lang="ja-JP" altLang="en-US" sz="1200" b="1">
                <a:solidFill>
                  <a:srgbClr val="3333FF"/>
                </a:solidFill>
              </a:rPr>
              <a:t>「３」</a:t>
            </a:r>
            <a:r>
              <a:rPr kumimoji="1" lang="ja-JP" altLang="en-US" sz="1200" b="1">
                <a:solidFill>
                  <a:srgbClr val="FF0000"/>
                </a:solidFill>
              </a:rPr>
              <a:t>を入力します！</a:t>
            </a:r>
            <a:endParaRPr kumimoji="1" lang="en-US" altLang="ja-JP" sz="1200" b="1">
              <a:solidFill>
                <a:srgbClr val="FF0000"/>
              </a:solidFill>
            </a:endParaRPr>
          </a:p>
          <a:p>
            <a:r>
              <a:rPr kumimoji="1" lang="ja-JP" altLang="en-US" sz="1200" b="1">
                <a:solidFill>
                  <a:srgbClr val="3333FF"/>
                </a:solidFill>
              </a:rPr>
              <a:t>　「３」</a:t>
            </a:r>
            <a:r>
              <a:rPr kumimoji="1" lang="ja-JP" altLang="en-US" sz="1200" b="1">
                <a:solidFill>
                  <a:schemeClr val="tx1"/>
                </a:solidFill>
              </a:rPr>
              <a:t>：１０１人以上の会社（既に社会保険適用拡大が適用されている）</a:t>
            </a:r>
            <a:endParaRPr kumimoji="1" lang="en-US" altLang="ja-JP" sz="1200" b="1">
              <a:solidFill>
                <a:schemeClr val="tx1"/>
              </a:solidFill>
            </a:endParaRPr>
          </a:p>
        </xdr:txBody>
      </xdr:sp>
    </xdr:grpSp>
    <xdr:clientData/>
  </xdr:twoCellAnchor>
  <xdr:twoCellAnchor>
    <xdr:from>
      <xdr:col>12</xdr:col>
      <xdr:colOff>813957</xdr:colOff>
      <xdr:row>0</xdr:row>
      <xdr:rowOff>164523</xdr:rowOff>
    </xdr:from>
    <xdr:to>
      <xdr:col>14</xdr:col>
      <xdr:colOff>1</xdr:colOff>
      <xdr:row>3</xdr:row>
      <xdr:rowOff>147205</xdr:rowOff>
    </xdr:to>
    <xdr:sp macro="" textlink="">
      <xdr:nvSpPr>
        <xdr:cNvPr id="10" name="楕円 9">
          <a:extLst>
            <a:ext uri="{FF2B5EF4-FFF2-40B4-BE49-F238E27FC236}">
              <a16:creationId xmlns:a16="http://schemas.microsoft.com/office/drawing/2014/main" id="{8C67A504-2941-4D4F-81AC-99D37844AFD2}"/>
            </a:ext>
          </a:extLst>
        </xdr:cNvPr>
        <xdr:cNvSpPr/>
      </xdr:nvSpPr>
      <xdr:spPr>
        <a:xfrm>
          <a:off x="8858252" y="164523"/>
          <a:ext cx="831272" cy="787977"/>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132</a:t>
          </a:r>
          <a:endParaRPr kumimoji="1" lang="ja-JP" altLang="en-US" sz="1100"/>
        </a:p>
      </xdr:txBody>
    </xdr:sp>
    <xdr:clientData/>
  </xdr:twoCellAnchor>
  <xdr:twoCellAnchor>
    <xdr:from>
      <xdr:col>17</xdr:col>
      <xdr:colOff>225136</xdr:colOff>
      <xdr:row>4</xdr:row>
      <xdr:rowOff>155862</xdr:rowOff>
    </xdr:from>
    <xdr:to>
      <xdr:col>19</xdr:col>
      <xdr:colOff>571500</xdr:colOff>
      <xdr:row>7</xdr:row>
      <xdr:rowOff>77930</xdr:rowOff>
    </xdr:to>
    <xdr:sp macro="" textlink="">
      <xdr:nvSpPr>
        <xdr:cNvPr id="8" name="吹き出し: 折線 7">
          <a:extLst>
            <a:ext uri="{FF2B5EF4-FFF2-40B4-BE49-F238E27FC236}">
              <a16:creationId xmlns:a16="http://schemas.microsoft.com/office/drawing/2014/main" id="{9B33DE14-C5D6-45B1-94B8-C8A848826A9E}"/>
            </a:ext>
          </a:extLst>
        </xdr:cNvPr>
        <xdr:cNvSpPr/>
      </xdr:nvSpPr>
      <xdr:spPr>
        <a:xfrm>
          <a:off x="12365181" y="1168976"/>
          <a:ext cx="1974274" cy="510886"/>
        </a:xfrm>
        <a:prstGeom prst="borderCallout2">
          <a:avLst>
            <a:gd name="adj1" fmla="val 106885"/>
            <a:gd name="adj2" fmla="val 29167"/>
            <a:gd name="adj3" fmla="val 167903"/>
            <a:gd name="adj4" fmla="val 24249"/>
            <a:gd name="adj5" fmla="val 236229"/>
            <a:gd name="adj6" fmla="val 166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昇給を加味しないときは「０」を入力！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238129</xdr:colOff>
      <xdr:row>33</xdr:row>
      <xdr:rowOff>355020</xdr:rowOff>
    </xdr:from>
    <xdr:to>
      <xdr:col>14</xdr:col>
      <xdr:colOff>304801</xdr:colOff>
      <xdr:row>36</xdr:row>
      <xdr:rowOff>270355</xdr:rowOff>
    </xdr:to>
    <xdr:sp macro="" textlink="">
      <xdr:nvSpPr>
        <xdr:cNvPr id="2" name="テキスト ボックス 1">
          <a:extLst>
            <a:ext uri="{FF2B5EF4-FFF2-40B4-BE49-F238E27FC236}">
              <a16:creationId xmlns:a16="http://schemas.microsoft.com/office/drawing/2014/main" id="{2A6674E3-A234-0620-50FD-CF54AFB1A732}"/>
            </a:ext>
          </a:extLst>
        </xdr:cNvPr>
        <xdr:cNvSpPr txBox="1"/>
      </xdr:nvSpPr>
      <xdr:spPr>
        <a:xfrm>
          <a:off x="10191754" y="12156495"/>
          <a:ext cx="3409947" cy="1058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sng">
              <a:solidFill>
                <a:srgbClr val="FF0000"/>
              </a:solidFill>
            </a:rPr>
            <a:t>ネット検索を行う際のキーワードの例！</a:t>
          </a:r>
          <a:endParaRPr kumimoji="1" lang="en-US" altLang="ja-JP" sz="1400" b="1" u="sng">
            <a:solidFill>
              <a:srgbClr val="FF0000"/>
            </a:solidFill>
          </a:endParaRPr>
        </a:p>
        <a:p>
          <a:r>
            <a:rPr kumimoji="1" lang="en-US" altLang="ja-JP" sz="1400" b="1"/>
            <a:t>1.</a:t>
          </a:r>
          <a:r>
            <a:rPr kumimoji="1" lang="ja-JP" altLang="en-US" sz="1400" b="1"/>
            <a:t>地方税の計算＋市区町村名　</a:t>
          </a:r>
          <a:endParaRPr kumimoji="1" lang="en-US" altLang="ja-JP" sz="1400" b="1"/>
        </a:p>
        <a:p>
          <a:r>
            <a:rPr kumimoji="1" lang="en-US" altLang="ja-JP" sz="1400" b="1"/>
            <a:t>2.</a:t>
          </a:r>
          <a:r>
            <a:rPr kumimoji="1" lang="ja-JP" altLang="en-US" sz="1400" b="1"/>
            <a:t>町民税の計算＋市区町村名</a:t>
          </a:r>
          <a:endParaRPr kumimoji="1" lang="en-US" altLang="ja-JP" sz="1400" b="1"/>
        </a:p>
        <a:p>
          <a:r>
            <a:rPr kumimoji="1" lang="en-US" altLang="ja-JP" sz="1400" b="1"/>
            <a:t>3.</a:t>
          </a:r>
          <a:r>
            <a:rPr kumimoji="1" lang="ja-JP" altLang="en-US" sz="1400" b="1"/>
            <a:t>市民税の計算＋市区町村名　など</a:t>
          </a:r>
        </a:p>
      </xdr:txBody>
    </xdr:sp>
    <xdr:clientData/>
  </xdr:twoCellAnchor>
  <xdr:twoCellAnchor>
    <xdr:from>
      <xdr:col>12</xdr:col>
      <xdr:colOff>623262</xdr:colOff>
      <xdr:row>9</xdr:row>
      <xdr:rowOff>55129</xdr:rowOff>
    </xdr:from>
    <xdr:to>
      <xdr:col>16</xdr:col>
      <xdr:colOff>232351</xdr:colOff>
      <xdr:row>12</xdr:row>
      <xdr:rowOff>171450</xdr:rowOff>
    </xdr:to>
    <xdr:sp macro="" textlink="">
      <xdr:nvSpPr>
        <xdr:cNvPr id="4" name="テキスト ボックス 3">
          <a:extLst>
            <a:ext uri="{FF2B5EF4-FFF2-40B4-BE49-F238E27FC236}">
              <a16:creationId xmlns:a16="http://schemas.microsoft.com/office/drawing/2014/main" id="{20415006-70A5-4E84-831B-3AC813208840}"/>
            </a:ext>
          </a:extLst>
        </xdr:cNvPr>
        <xdr:cNvSpPr txBox="1"/>
      </xdr:nvSpPr>
      <xdr:spPr>
        <a:xfrm>
          <a:off x="11577012" y="3369829"/>
          <a:ext cx="4066789" cy="1078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sng">
              <a:solidFill>
                <a:srgbClr val="FF0000"/>
              </a:solidFill>
            </a:rPr>
            <a:t>ネット検索を行う際のキーワードの例！</a:t>
          </a:r>
          <a:endParaRPr kumimoji="1" lang="en-US" altLang="ja-JP" sz="1400" b="1" u="sng">
            <a:solidFill>
              <a:srgbClr val="FF0000"/>
            </a:solidFill>
          </a:endParaRPr>
        </a:p>
        <a:p>
          <a:r>
            <a:rPr kumimoji="1" lang="en-US" altLang="ja-JP" sz="1400" b="1"/>
            <a:t>1.</a:t>
          </a:r>
          <a:r>
            <a:rPr kumimoji="1" lang="ja-JP" altLang="en-US" sz="1400" b="1"/>
            <a:t>国民健康保険料の計算＋市区町村名</a:t>
          </a:r>
          <a:endParaRPr kumimoji="1" lang="en-US" altLang="ja-JP" sz="1400" b="1"/>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mn-lt"/>
              <a:ea typeface="+mn-ea"/>
              <a:cs typeface="+mn-cs"/>
            </a:rPr>
            <a:t>2.</a:t>
          </a:r>
          <a:r>
            <a:rPr kumimoji="1" lang="ja-JP" altLang="ja-JP" sz="1400" b="1">
              <a:solidFill>
                <a:schemeClr val="dk1"/>
              </a:solidFill>
              <a:effectLst/>
              <a:latin typeface="+mn-lt"/>
              <a:ea typeface="+mn-ea"/>
              <a:cs typeface="+mn-cs"/>
            </a:rPr>
            <a:t>国民健康保険</a:t>
          </a:r>
          <a:r>
            <a:rPr kumimoji="1" lang="ja-JP" altLang="en-US" sz="1400" b="1">
              <a:solidFill>
                <a:schemeClr val="dk1"/>
              </a:solidFill>
              <a:effectLst/>
              <a:latin typeface="+mn-lt"/>
              <a:ea typeface="+mn-ea"/>
              <a:cs typeface="+mn-cs"/>
            </a:rPr>
            <a:t>税</a:t>
          </a:r>
          <a:r>
            <a:rPr kumimoji="1" lang="ja-JP" altLang="ja-JP" sz="1400" b="1">
              <a:solidFill>
                <a:schemeClr val="dk1"/>
              </a:solidFill>
              <a:effectLst/>
              <a:latin typeface="+mn-lt"/>
              <a:ea typeface="+mn-ea"/>
              <a:cs typeface="+mn-cs"/>
            </a:rPr>
            <a:t>の計算＋市区町村名</a:t>
          </a:r>
          <a:endParaRPr lang="ja-JP" altLang="ja-JP" sz="1400"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mn-lt"/>
              <a:ea typeface="+mn-ea"/>
              <a:cs typeface="+mn-cs"/>
            </a:rPr>
            <a:t>3.</a:t>
          </a:r>
          <a:r>
            <a:rPr kumimoji="1" lang="ja-JP" altLang="ja-JP" sz="1400" b="1">
              <a:solidFill>
                <a:schemeClr val="dk1"/>
              </a:solidFill>
              <a:effectLst/>
              <a:latin typeface="+mn-lt"/>
              <a:ea typeface="+mn-ea"/>
              <a:cs typeface="+mn-cs"/>
            </a:rPr>
            <a:t>国民健康保険</a:t>
          </a:r>
          <a:r>
            <a:rPr kumimoji="1" lang="ja-JP" altLang="en-US" sz="1400" b="1">
              <a:solidFill>
                <a:schemeClr val="dk1"/>
              </a:solidFill>
              <a:effectLst/>
              <a:latin typeface="+mn-lt"/>
              <a:ea typeface="+mn-ea"/>
              <a:cs typeface="+mn-cs"/>
            </a:rPr>
            <a:t>料率</a:t>
          </a:r>
          <a:r>
            <a:rPr kumimoji="1" lang="ja-JP" altLang="ja-JP" sz="1400" b="1">
              <a:solidFill>
                <a:schemeClr val="dk1"/>
              </a:solidFill>
              <a:effectLst/>
              <a:latin typeface="+mn-lt"/>
              <a:ea typeface="+mn-ea"/>
              <a:cs typeface="+mn-cs"/>
            </a:rPr>
            <a:t>の計算＋市区町村名</a:t>
          </a:r>
          <a:r>
            <a:rPr kumimoji="1" lang="ja-JP" altLang="en-US" sz="1400" b="1"/>
            <a:t>　など</a:t>
          </a:r>
        </a:p>
      </xdr:txBody>
    </xdr:sp>
    <xdr:clientData/>
  </xdr:twoCellAnchor>
  <xdr:twoCellAnchor>
    <xdr:from>
      <xdr:col>0</xdr:col>
      <xdr:colOff>142875</xdr:colOff>
      <xdr:row>0</xdr:row>
      <xdr:rowOff>76200</xdr:rowOff>
    </xdr:from>
    <xdr:to>
      <xdr:col>3</xdr:col>
      <xdr:colOff>1040822</xdr:colOff>
      <xdr:row>1</xdr:row>
      <xdr:rowOff>17319</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3318D9B3-545D-4A67-B599-DFC69A67B4D8}"/>
            </a:ext>
          </a:extLst>
        </xdr:cNvPr>
        <xdr:cNvSpPr/>
      </xdr:nvSpPr>
      <xdr:spPr>
        <a:xfrm flipH="1">
          <a:off x="142875" y="76200"/>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502228</xdr:colOff>
      <xdr:row>4</xdr:row>
      <xdr:rowOff>303068</xdr:rowOff>
    </xdr:from>
    <xdr:to>
      <xdr:col>7</xdr:col>
      <xdr:colOff>0</xdr:colOff>
      <xdr:row>6</xdr:row>
      <xdr:rowOff>40409</xdr:rowOff>
    </xdr:to>
    <xdr:sp macro="" textlink="">
      <xdr:nvSpPr>
        <xdr:cNvPr id="2" name="四角形: 角を丸くする 1">
          <a:extLst>
            <a:ext uri="{FF2B5EF4-FFF2-40B4-BE49-F238E27FC236}">
              <a16:creationId xmlns:a16="http://schemas.microsoft.com/office/drawing/2014/main" id="{65A1772D-CBAE-46F5-852B-D727C3970B1A}"/>
            </a:ext>
          </a:extLst>
        </xdr:cNvPr>
        <xdr:cNvSpPr/>
      </xdr:nvSpPr>
      <xdr:spPr>
        <a:xfrm rot="16200000">
          <a:off x="9630354" y="-3534354"/>
          <a:ext cx="317500" cy="1015711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519544</xdr:colOff>
      <xdr:row>9</xdr:row>
      <xdr:rowOff>8658</xdr:rowOff>
    </xdr:from>
    <xdr:to>
      <xdr:col>7</xdr:col>
      <xdr:colOff>0</xdr:colOff>
      <xdr:row>10</xdr:row>
      <xdr:rowOff>14431</xdr:rowOff>
    </xdr:to>
    <xdr:sp macro="" textlink="">
      <xdr:nvSpPr>
        <xdr:cNvPr id="8" name="四角形: 角を丸くする 7">
          <a:extLst>
            <a:ext uri="{FF2B5EF4-FFF2-40B4-BE49-F238E27FC236}">
              <a16:creationId xmlns:a16="http://schemas.microsoft.com/office/drawing/2014/main" id="{9F492698-2244-42F7-947A-6362E6D70E69}"/>
            </a:ext>
          </a:extLst>
        </xdr:cNvPr>
        <xdr:cNvSpPr/>
      </xdr:nvSpPr>
      <xdr:spPr>
        <a:xfrm rot="16200000">
          <a:off x="9647670" y="-1975718"/>
          <a:ext cx="317500" cy="1015711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429490</xdr:colOff>
      <xdr:row>13</xdr:row>
      <xdr:rowOff>22514</xdr:rowOff>
    </xdr:from>
    <xdr:to>
      <xdr:col>7</xdr:col>
      <xdr:colOff>0</xdr:colOff>
      <xdr:row>14</xdr:row>
      <xdr:rowOff>28287</xdr:rowOff>
    </xdr:to>
    <xdr:sp macro="" textlink="">
      <xdr:nvSpPr>
        <xdr:cNvPr id="9" name="四角形: 角を丸くする 8">
          <a:extLst>
            <a:ext uri="{FF2B5EF4-FFF2-40B4-BE49-F238E27FC236}">
              <a16:creationId xmlns:a16="http://schemas.microsoft.com/office/drawing/2014/main" id="{1B10336C-CC1C-46DC-A5A8-819C492ACA1C}"/>
            </a:ext>
          </a:extLst>
        </xdr:cNvPr>
        <xdr:cNvSpPr/>
      </xdr:nvSpPr>
      <xdr:spPr>
        <a:xfrm rot="16200000">
          <a:off x="9557616" y="47047"/>
          <a:ext cx="317500" cy="1015711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2436813</xdr:colOff>
      <xdr:row>14</xdr:row>
      <xdr:rowOff>166684</xdr:rowOff>
    </xdr:from>
    <xdr:to>
      <xdr:col>6</xdr:col>
      <xdr:colOff>7938</xdr:colOff>
      <xdr:row>16</xdr:row>
      <xdr:rowOff>650871</xdr:rowOff>
    </xdr:to>
    <xdr:sp macro="" textlink="">
      <xdr:nvSpPr>
        <xdr:cNvPr id="5" name="四角形: 角を丸くする 4">
          <a:extLst>
            <a:ext uri="{FF2B5EF4-FFF2-40B4-BE49-F238E27FC236}">
              <a16:creationId xmlns:a16="http://schemas.microsoft.com/office/drawing/2014/main" id="{F0B05A3C-8D34-4D57-A32E-2AF135981521}"/>
            </a:ext>
          </a:extLst>
        </xdr:cNvPr>
        <xdr:cNvSpPr/>
      </xdr:nvSpPr>
      <xdr:spPr>
        <a:xfrm>
          <a:off x="6754813" y="5857872"/>
          <a:ext cx="2540000" cy="130968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15875</xdr:colOff>
      <xdr:row>15</xdr:row>
      <xdr:rowOff>71437</xdr:rowOff>
    </xdr:from>
    <xdr:to>
      <xdr:col>1</xdr:col>
      <xdr:colOff>555625</xdr:colOff>
      <xdr:row>16</xdr:row>
      <xdr:rowOff>31750</xdr:rowOff>
    </xdr:to>
    <xdr:sp macro="" textlink="">
      <xdr:nvSpPr>
        <xdr:cNvPr id="10" name="楕円 9">
          <a:extLst>
            <a:ext uri="{FF2B5EF4-FFF2-40B4-BE49-F238E27FC236}">
              <a16:creationId xmlns:a16="http://schemas.microsoft.com/office/drawing/2014/main" id="{C07E8D17-7DD9-49CB-BFB9-0BE62ACA5C0E}"/>
            </a:ext>
          </a:extLst>
        </xdr:cNvPr>
        <xdr:cNvSpPr/>
      </xdr:nvSpPr>
      <xdr:spPr>
        <a:xfrm>
          <a:off x="309563" y="6080125"/>
          <a:ext cx="539750" cy="468313"/>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977900</xdr:colOff>
      <xdr:row>12</xdr:row>
      <xdr:rowOff>874712</xdr:rowOff>
    </xdr:from>
    <xdr:to>
      <xdr:col>5</xdr:col>
      <xdr:colOff>1517650</xdr:colOff>
      <xdr:row>14</xdr:row>
      <xdr:rowOff>136525</xdr:rowOff>
    </xdr:to>
    <xdr:sp macro="" textlink="">
      <xdr:nvSpPr>
        <xdr:cNvPr id="11" name="楕円 10">
          <a:extLst>
            <a:ext uri="{FF2B5EF4-FFF2-40B4-BE49-F238E27FC236}">
              <a16:creationId xmlns:a16="http://schemas.microsoft.com/office/drawing/2014/main" id="{F1553439-35B6-44FB-89DA-FE7E2A41D12E}"/>
            </a:ext>
          </a:extLst>
        </xdr:cNvPr>
        <xdr:cNvSpPr/>
      </xdr:nvSpPr>
      <xdr:spPr>
        <a:xfrm>
          <a:off x="7780338" y="5359400"/>
          <a:ext cx="539750" cy="468313"/>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xdr:row>
      <xdr:rowOff>0</xdr:rowOff>
    </xdr:from>
    <xdr:to>
      <xdr:col>2</xdr:col>
      <xdr:colOff>1012247</xdr:colOff>
      <xdr:row>2</xdr:row>
      <xdr:rowOff>14144</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6E4A8303-6C82-4C15-8EFC-BBF5B7948196}"/>
            </a:ext>
          </a:extLst>
        </xdr:cNvPr>
        <xdr:cNvSpPr/>
      </xdr:nvSpPr>
      <xdr:spPr>
        <a:xfrm flipH="1">
          <a:off x="293688" y="17462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xdr:col>
      <xdr:colOff>9525</xdr:colOff>
      <xdr:row>7</xdr:row>
      <xdr:rowOff>180975</xdr:rowOff>
    </xdr:from>
    <xdr:to>
      <xdr:col>1</xdr:col>
      <xdr:colOff>549275</xdr:colOff>
      <xdr:row>8</xdr:row>
      <xdr:rowOff>141288</xdr:rowOff>
    </xdr:to>
    <xdr:sp macro="" textlink="">
      <xdr:nvSpPr>
        <xdr:cNvPr id="4" name="楕円 3">
          <a:extLst>
            <a:ext uri="{FF2B5EF4-FFF2-40B4-BE49-F238E27FC236}">
              <a16:creationId xmlns:a16="http://schemas.microsoft.com/office/drawing/2014/main" id="{BFA6598C-5A37-4F65-B3D7-E56A540C288A}"/>
            </a:ext>
          </a:extLst>
        </xdr:cNvPr>
        <xdr:cNvSpPr/>
      </xdr:nvSpPr>
      <xdr:spPr>
        <a:xfrm>
          <a:off x="304800" y="2105025"/>
          <a:ext cx="539750" cy="465138"/>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266700</xdr:colOff>
      <xdr:row>11</xdr:row>
      <xdr:rowOff>200025</xdr:rowOff>
    </xdr:from>
    <xdr:to>
      <xdr:col>1</xdr:col>
      <xdr:colOff>511175</xdr:colOff>
      <xdr:row>12</xdr:row>
      <xdr:rowOff>160338</xdr:rowOff>
    </xdr:to>
    <xdr:sp macro="" textlink="">
      <xdr:nvSpPr>
        <xdr:cNvPr id="6" name="楕円 5">
          <a:extLst>
            <a:ext uri="{FF2B5EF4-FFF2-40B4-BE49-F238E27FC236}">
              <a16:creationId xmlns:a16="http://schemas.microsoft.com/office/drawing/2014/main" id="{DB8AB109-47E8-4E50-AA3F-B0C2DD789A05}"/>
            </a:ext>
          </a:extLst>
        </xdr:cNvPr>
        <xdr:cNvSpPr/>
      </xdr:nvSpPr>
      <xdr:spPr>
        <a:xfrm>
          <a:off x="266700" y="4143375"/>
          <a:ext cx="539750" cy="465138"/>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942975</xdr:colOff>
      <xdr:row>8</xdr:row>
      <xdr:rowOff>857250</xdr:rowOff>
    </xdr:from>
    <xdr:to>
      <xdr:col>5</xdr:col>
      <xdr:colOff>1482725</xdr:colOff>
      <xdr:row>10</xdr:row>
      <xdr:rowOff>122238</xdr:rowOff>
    </xdr:to>
    <xdr:sp macro="" textlink="">
      <xdr:nvSpPr>
        <xdr:cNvPr id="7" name="楕円 6">
          <a:extLst>
            <a:ext uri="{FF2B5EF4-FFF2-40B4-BE49-F238E27FC236}">
              <a16:creationId xmlns:a16="http://schemas.microsoft.com/office/drawing/2014/main" id="{75B3A572-8FC5-465F-A2FC-270932729C48}"/>
            </a:ext>
          </a:extLst>
        </xdr:cNvPr>
        <xdr:cNvSpPr/>
      </xdr:nvSpPr>
      <xdr:spPr>
        <a:xfrm>
          <a:off x="7743825" y="3286125"/>
          <a:ext cx="539750" cy="465138"/>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971550</xdr:colOff>
      <xdr:row>4</xdr:row>
      <xdr:rowOff>238125</xdr:rowOff>
    </xdr:from>
    <xdr:to>
      <xdr:col>5</xdr:col>
      <xdr:colOff>1511300</xdr:colOff>
      <xdr:row>6</xdr:row>
      <xdr:rowOff>122238</xdr:rowOff>
    </xdr:to>
    <xdr:sp macro="" textlink="">
      <xdr:nvSpPr>
        <xdr:cNvPr id="12" name="楕円 11">
          <a:extLst>
            <a:ext uri="{FF2B5EF4-FFF2-40B4-BE49-F238E27FC236}">
              <a16:creationId xmlns:a16="http://schemas.microsoft.com/office/drawing/2014/main" id="{6E5E39CC-F675-4484-A883-EDCB1A55C037}"/>
            </a:ext>
          </a:extLst>
        </xdr:cNvPr>
        <xdr:cNvSpPr/>
      </xdr:nvSpPr>
      <xdr:spPr>
        <a:xfrm>
          <a:off x="7772400" y="1314450"/>
          <a:ext cx="539750" cy="465138"/>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2438400</xdr:colOff>
      <xdr:row>7</xdr:row>
      <xdr:rowOff>0</xdr:rowOff>
    </xdr:from>
    <xdr:to>
      <xdr:col>6</xdr:col>
      <xdr:colOff>9525</xdr:colOff>
      <xdr:row>8</xdr:row>
      <xdr:rowOff>798512</xdr:rowOff>
    </xdr:to>
    <xdr:sp macro="" textlink="">
      <xdr:nvSpPr>
        <xdr:cNvPr id="13" name="四角形: 角を丸くする 12">
          <a:extLst>
            <a:ext uri="{FF2B5EF4-FFF2-40B4-BE49-F238E27FC236}">
              <a16:creationId xmlns:a16="http://schemas.microsoft.com/office/drawing/2014/main" id="{1BF470D9-711F-4864-8099-42F6BC9E5222}"/>
            </a:ext>
          </a:extLst>
        </xdr:cNvPr>
        <xdr:cNvSpPr/>
      </xdr:nvSpPr>
      <xdr:spPr>
        <a:xfrm>
          <a:off x="6753225" y="1924050"/>
          <a:ext cx="2543175" cy="130333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2438400</xdr:colOff>
      <xdr:row>10</xdr:row>
      <xdr:rowOff>266700</xdr:rowOff>
    </xdr:from>
    <xdr:to>
      <xdr:col>6</xdr:col>
      <xdr:colOff>9525</xdr:colOff>
      <xdr:row>12</xdr:row>
      <xdr:rowOff>750887</xdr:rowOff>
    </xdr:to>
    <xdr:sp macro="" textlink="">
      <xdr:nvSpPr>
        <xdr:cNvPr id="14" name="四角形: 角を丸くする 13">
          <a:extLst>
            <a:ext uri="{FF2B5EF4-FFF2-40B4-BE49-F238E27FC236}">
              <a16:creationId xmlns:a16="http://schemas.microsoft.com/office/drawing/2014/main" id="{0FC3D61A-930C-45CC-BFD2-504AE40BDC9B}"/>
            </a:ext>
          </a:extLst>
        </xdr:cNvPr>
        <xdr:cNvSpPr/>
      </xdr:nvSpPr>
      <xdr:spPr>
        <a:xfrm>
          <a:off x="6753225" y="3895725"/>
          <a:ext cx="2543175" cy="130333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1000125</xdr:colOff>
      <xdr:row>13</xdr:row>
      <xdr:rowOff>0</xdr:rowOff>
    </xdr:from>
    <xdr:to>
      <xdr:col>12</xdr:col>
      <xdr:colOff>254000</xdr:colOff>
      <xdr:row>13</xdr:row>
      <xdr:rowOff>142875</xdr:rowOff>
    </xdr:to>
    <xdr:sp macro="" textlink="">
      <xdr:nvSpPr>
        <xdr:cNvPr id="2" name="矢印: 左右 1">
          <a:extLst>
            <a:ext uri="{FF2B5EF4-FFF2-40B4-BE49-F238E27FC236}">
              <a16:creationId xmlns:a16="http://schemas.microsoft.com/office/drawing/2014/main" id="{34377686-BEC5-4AB2-9A04-A03599E9AEA1}"/>
            </a:ext>
          </a:extLst>
        </xdr:cNvPr>
        <xdr:cNvSpPr/>
      </xdr:nvSpPr>
      <xdr:spPr>
        <a:xfrm>
          <a:off x="10877550" y="3971925"/>
          <a:ext cx="320675" cy="142875"/>
        </a:xfrm>
        <a:prstGeom prst="leftRight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74324</xdr:colOff>
      <xdr:row>2</xdr:row>
      <xdr:rowOff>170297</xdr:rowOff>
    </xdr:from>
    <xdr:to>
      <xdr:col>3</xdr:col>
      <xdr:colOff>1246909</xdr:colOff>
      <xdr:row>4</xdr:row>
      <xdr:rowOff>67109</xdr:rowOff>
    </xdr:to>
    <xdr:sp macro="" textlink="">
      <xdr:nvSpPr>
        <xdr:cNvPr id="7" name="楕円 6">
          <a:extLst>
            <a:ext uri="{FF2B5EF4-FFF2-40B4-BE49-F238E27FC236}">
              <a16:creationId xmlns:a16="http://schemas.microsoft.com/office/drawing/2014/main" id="{0C3CDD3F-6C9A-4EDC-87CD-866CBD337F57}"/>
            </a:ext>
          </a:extLst>
        </xdr:cNvPr>
        <xdr:cNvSpPr/>
      </xdr:nvSpPr>
      <xdr:spPr>
        <a:xfrm>
          <a:off x="2403619" y="845706"/>
          <a:ext cx="1172585" cy="459653"/>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142874</xdr:colOff>
      <xdr:row>4</xdr:row>
      <xdr:rowOff>77932</xdr:rowOff>
    </xdr:from>
    <xdr:to>
      <xdr:col>17</xdr:col>
      <xdr:colOff>510886</xdr:colOff>
      <xdr:row>5</xdr:row>
      <xdr:rowOff>15874</xdr:rowOff>
    </xdr:to>
    <xdr:sp macro="" textlink="">
      <xdr:nvSpPr>
        <xdr:cNvPr id="8" name="矢印: 右 7">
          <a:extLst>
            <a:ext uri="{FF2B5EF4-FFF2-40B4-BE49-F238E27FC236}">
              <a16:creationId xmlns:a16="http://schemas.microsoft.com/office/drawing/2014/main" id="{516FD165-6CA9-41F7-9E42-1B459AB148D9}"/>
            </a:ext>
          </a:extLst>
        </xdr:cNvPr>
        <xdr:cNvSpPr/>
      </xdr:nvSpPr>
      <xdr:spPr>
        <a:xfrm>
          <a:off x="15297149" y="1316182"/>
          <a:ext cx="1377662" cy="318942"/>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142874</xdr:colOff>
      <xdr:row>4</xdr:row>
      <xdr:rowOff>34636</xdr:rowOff>
    </xdr:from>
    <xdr:to>
      <xdr:col>32</xdr:col>
      <xdr:colOff>325437</xdr:colOff>
      <xdr:row>5</xdr:row>
      <xdr:rowOff>15874</xdr:rowOff>
    </xdr:to>
    <xdr:sp macro="" textlink="">
      <xdr:nvSpPr>
        <xdr:cNvPr id="9" name="矢印: 右 8">
          <a:extLst>
            <a:ext uri="{FF2B5EF4-FFF2-40B4-BE49-F238E27FC236}">
              <a16:creationId xmlns:a16="http://schemas.microsoft.com/office/drawing/2014/main" id="{4D36E675-36A5-418F-9FD7-0815D8818BA4}"/>
            </a:ext>
          </a:extLst>
        </xdr:cNvPr>
        <xdr:cNvSpPr/>
      </xdr:nvSpPr>
      <xdr:spPr>
        <a:xfrm>
          <a:off x="28394024" y="1272886"/>
          <a:ext cx="1316038" cy="362238"/>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142874</xdr:colOff>
      <xdr:row>4</xdr:row>
      <xdr:rowOff>51955</xdr:rowOff>
    </xdr:from>
    <xdr:to>
      <xdr:col>38</xdr:col>
      <xdr:colOff>1368136</xdr:colOff>
      <xdr:row>5</xdr:row>
      <xdr:rowOff>15875</xdr:rowOff>
    </xdr:to>
    <xdr:sp macro="" textlink="">
      <xdr:nvSpPr>
        <xdr:cNvPr id="10" name="矢印: 右 9">
          <a:extLst>
            <a:ext uri="{FF2B5EF4-FFF2-40B4-BE49-F238E27FC236}">
              <a16:creationId xmlns:a16="http://schemas.microsoft.com/office/drawing/2014/main" id="{BBCD8706-2636-49BA-8882-DCF62AEDF9B0}"/>
            </a:ext>
          </a:extLst>
        </xdr:cNvPr>
        <xdr:cNvSpPr/>
      </xdr:nvSpPr>
      <xdr:spPr>
        <a:xfrm>
          <a:off x="38976299" y="1290205"/>
          <a:ext cx="968087" cy="344920"/>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337705</xdr:colOff>
      <xdr:row>1</xdr:row>
      <xdr:rowOff>51954</xdr:rowOff>
    </xdr:from>
    <xdr:to>
      <xdr:col>20</xdr:col>
      <xdr:colOff>779317</xdr:colOff>
      <xdr:row>2</xdr:row>
      <xdr:rowOff>138545</xdr:rowOff>
    </xdr:to>
    <xdr:grpSp>
      <xdr:nvGrpSpPr>
        <xdr:cNvPr id="22" name="グループ化 21">
          <a:extLst>
            <a:ext uri="{FF2B5EF4-FFF2-40B4-BE49-F238E27FC236}">
              <a16:creationId xmlns:a16="http://schemas.microsoft.com/office/drawing/2014/main" id="{3942D55F-CB77-477D-9E2C-332FB6E1A9EF}"/>
            </a:ext>
          </a:extLst>
        </xdr:cNvPr>
        <xdr:cNvGrpSpPr/>
      </xdr:nvGrpSpPr>
      <xdr:grpSpPr>
        <a:xfrm>
          <a:off x="16320655" y="242454"/>
          <a:ext cx="4508787" cy="572366"/>
          <a:chOff x="10096501" y="1853046"/>
          <a:chExt cx="4502725" cy="571500"/>
        </a:xfrm>
      </xdr:grpSpPr>
      <xdr:sp macro="" textlink="">
        <xdr:nvSpPr>
          <xdr:cNvPr id="23" name="正方形/長方形 22">
            <a:extLst>
              <a:ext uri="{FF2B5EF4-FFF2-40B4-BE49-F238E27FC236}">
                <a16:creationId xmlns:a16="http://schemas.microsoft.com/office/drawing/2014/main" id="{2170EAB4-8B87-6A06-6817-8362F138A6AB}"/>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24" name="図 23">
            <a:extLst>
              <a:ext uri="{FF2B5EF4-FFF2-40B4-BE49-F238E27FC236}">
                <a16:creationId xmlns:a16="http://schemas.microsoft.com/office/drawing/2014/main" id="{811C8A25-69E6-22AB-F697-0E066771C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1058573</xdr:colOff>
      <xdr:row>12</xdr:row>
      <xdr:rowOff>355022</xdr:rowOff>
    </xdr:from>
    <xdr:to>
      <xdr:col>10</xdr:col>
      <xdr:colOff>162358</xdr:colOff>
      <xdr:row>13</xdr:row>
      <xdr:rowOff>147204</xdr:rowOff>
    </xdr:to>
    <xdr:sp macro="" textlink="">
      <xdr:nvSpPr>
        <xdr:cNvPr id="5" name="矢印: 下 4">
          <a:extLst>
            <a:ext uri="{FF2B5EF4-FFF2-40B4-BE49-F238E27FC236}">
              <a16:creationId xmlns:a16="http://schemas.microsoft.com/office/drawing/2014/main" id="{C305AFE3-BA90-4804-89AB-40901A73484C}"/>
            </a:ext>
          </a:extLst>
        </xdr:cNvPr>
        <xdr:cNvSpPr/>
      </xdr:nvSpPr>
      <xdr:spPr>
        <a:xfrm>
          <a:off x="6972732" y="3965863"/>
          <a:ext cx="229467" cy="164523"/>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24245</xdr:colOff>
      <xdr:row>5</xdr:row>
      <xdr:rowOff>199158</xdr:rowOff>
    </xdr:from>
    <xdr:to>
      <xdr:col>7</xdr:col>
      <xdr:colOff>969818</xdr:colOff>
      <xdr:row>6</xdr:row>
      <xdr:rowOff>207817</xdr:rowOff>
    </xdr:to>
    <xdr:sp macro="" textlink="">
      <xdr:nvSpPr>
        <xdr:cNvPr id="3" name="四角形: 角を丸くする 2">
          <a:extLst>
            <a:ext uri="{FF2B5EF4-FFF2-40B4-BE49-F238E27FC236}">
              <a16:creationId xmlns:a16="http://schemas.microsoft.com/office/drawing/2014/main" id="{B22D742F-9EDE-468E-9BBC-6EE9AA0DA1AF}"/>
            </a:ext>
          </a:extLst>
        </xdr:cNvPr>
        <xdr:cNvSpPr/>
      </xdr:nvSpPr>
      <xdr:spPr>
        <a:xfrm>
          <a:off x="4570268" y="1818408"/>
          <a:ext cx="2815936" cy="372341"/>
        </a:xfrm>
        <a:prstGeom prst="roundRect">
          <a:avLst/>
        </a:prstGeom>
        <a:solidFill>
          <a:srgbClr val="006C31"/>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労働時間延長メニュー</a:t>
          </a:r>
        </a:p>
      </xdr:txBody>
    </xdr:sp>
    <xdr:clientData/>
  </xdr:twoCellAnchor>
  <xdr:twoCellAnchor>
    <xdr:from>
      <xdr:col>3</xdr:col>
      <xdr:colOff>1359475</xdr:colOff>
      <xdr:row>2</xdr:row>
      <xdr:rowOff>69274</xdr:rowOff>
    </xdr:from>
    <xdr:to>
      <xdr:col>5</xdr:col>
      <xdr:colOff>573135</xdr:colOff>
      <xdr:row>5</xdr:row>
      <xdr:rowOff>77930</xdr:rowOff>
    </xdr:to>
    <xdr:grpSp>
      <xdr:nvGrpSpPr>
        <xdr:cNvPr id="35" name="グループ化 34">
          <a:extLst>
            <a:ext uri="{FF2B5EF4-FFF2-40B4-BE49-F238E27FC236}">
              <a16:creationId xmlns:a16="http://schemas.microsoft.com/office/drawing/2014/main" id="{EF167F9A-61C8-4C30-B013-31990D429E77}"/>
            </a:ext>
          </a:extLst>
        </xdr:cNvPr>
        <xdr:cNvGrpSpPr/>
      </xdr:nvGrpSpPr>
      <xdr:grpSpPr>
        <a:xfrm>
          <a:off x="3512125" y="745549"/>
          <a:ext cx="1766360" cy="951631"/>
          <a:chOff x="732942" y="1294186"/>
          <a:chExt cx="2174188" cy="909011"/>
        </a:xfrm>
      </xdr:grpSpPr>
      <xdr:sp macro="" textlink="">
        <xdr:nvSpPr>
          <xdr:cNvPr id="36" name="テキスト ボックス 35">
            <a:extLst>
              <a:ext uri="{FF2B5EF4-FFF2-40B4-BE49-F238E27FC236}">
                <a16:creationId xmlns:a16="http://schemas.microsoft.com/office/drawing/2014/main" id="{8B1B586E-E497-3110-C087-C30F92CA7BB4}"/>
              </a:ext>
            </a:extLst>
          </xdr:cNvPr>
          <xdr:cNvSpPr txBox="1"/>
        </xdr:nvSpPr>
        <xdr:spPr>
          <a:xfrm>
            <a:off x="1538993" y="1294186"/>
            <a:ext cx="1368137" cy="909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１ヵ所</a:t>
            </a:r>
            <a:r>
              <a:rPr kumimoji="1" lang="ja-JP" altLang="en-US" sz="1200" b="1"/>
              <a:t>です！</a:t>
            </a:r>
          </a:p>
        </xdr:txBody>
      </xdr:sp>
      <xdr:sp macro="" textlink="">
        <xdr:nvSpPr>
          <xdr:cNvPr id="37" name="矢印: 左 36">
            <a:extLst>
              <a:ext uri="{FF2B5EF4-FFF2-40B4-BE49-F238E27FC236}">
                <a16:creationId xmlns:a16="http://schemas.microsoft.com/office/drawing/2014/main" id="{9D32D65C-2FD4-D188-425B-83F0289BCEEF}"/>
              </a:ext>
            </a:extLst>
          </xdr:cNvPr>
          <xdr:cNvSpPr/>
        </xdr:nvSpPr>
        <xdr:spPr>
          <a:xfrm rot="20996315">
            <a:off x="732942" y="1474780"/>
            <a:ext cx="820869" cy="2010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190500</xdr:colOff>
      <xdr:row>1</xdr:row>
      <xdr:rowOff>60614</xdr:rowOff>
    </xdr:from>
    <xdr:to>
      <xdr:col>14</xdr:col>
      <xdr:colOff>319520</xdr:colOff>
      <xdr:row>1</xdr:row>
      <xdr:rowOff>432089</xdr:rowOff>
    </xdr:to>
    <xdr:sp macro="" textlink="">
      <xdr:nvSpPr>
        <xdr:cNvPr id="4" name="四角形: 角を丸くする 3">
          <a:extLst>
            <a:ext uri="{FF2B5EF4-FFF2-40B4-BE49-F238E27FC236}">
              <a16:creationId xmlns:a16="http://schemas.microsoft.com/office/drawing/2014/main" id="{DC91CFB5-19FB-4DC6-B945-F51525652F2F}"/>
            </a:ext>
          </a:extLst>
        </xdr:cNvPr>
        <xdr:cNvSpPr/>
      </xdr:nvSpPr>
      <xdr:spPr>
        <a:xfrm>
          <a:off x="9906000" y="251114"/>
          <a:ext cx="4371975" cy="371475"/>
        </a:xfrm>
        <a:prstGeom prst="roundRect">
          <a:avLst/>
        </a:prstGeom>
        <a:solidFill>
          <a:srgbClr val="3333FF"/>
        </a:solidFill>
        <a:ln w="25400" cap="flat" cmpd="sng" algn="ctr">
          <a:solidFill>
            <a:srgbClr val="0066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社会保険加入者人数関係なく全企業が対象！</a:t>
          </a:r>
        </a:p>
      </xdr:txBody>
    </xdr:sp>
    <xdr:clientData/>
  </xdr:twoCellAnchor>
  <xdr:twoCellAnchor>
    <xdr:from>
      <xdr:col>1</xdr:col>
      <xdr:colOff>0</xdr:colOff>
      <xdr:row>0</xdr:row>
      <xdr:rowOff>60613</xdr:rowOff>
    </xdr:from>
    <xdr:to>
      <xdr:col>2</xdr:col>
      <xdr:colOff>1124815</xdr:colOff>
      <xdr:row>1</xdr:row>
      <xdr:rowOff>154132</xdr:rowOff>
    </xdr:to>
    <xdr:sp macro="" textlink="">
      <xdr:nvSpPr>
        <xdr:cNvPr id="11" name="矢印: 五方向 10">
          <a:hlinkClick xmlns:r="http://schemas.openxmlformats.org/officeDocument/2006/relationships" r:id="rId2"/>
          <a:extLst>
            <a:ext uri="{FF2B5EF4-FFF2-40B4-BE49-F238E27FC236}">
              <a16:creationId xmlns:a16="http://schemas.microsoft.com/office/drawing/2014/main" id="{C84D9757-23D2-4CFC-A6D7-897EB264B463}"/>
            </a:ext>
          </a:extLst>
        </xdr:cNvPr>
        <xdr:cNvSpPr/>
      </xdr:nvSpPr>
      <xdr:spPr>
        <a:xfrm flipH="1">
          <a:off x="199159" y="60613"/>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1126116</xdr:colOff>
      <xdr:row>0</xdr:row>
      <xdr:rowOff>30308</xdr:rowOff>
    </xdr:from>
    <xdr:to>
      <xdr:col>7</xdr:col>
      <xdr:colOff>771525</xdr:colOff>
      <xdr:row>1</xdr:row>
      <xdr:rowOff>45895</xdr:rowOff>
    </xdr:to>
    <xdr:sp macro="" textlink="">
      <xdr:nvSpPr>
        <xdr:cNvPr id="28" name="正方形/長方形 27">
          <a:extLst>
            <a:ext uri="{FF2B5EF4-FFF2-40B4-BE49-F238E27FC236}">
              <a16:creationId xmlns:a16="http://schemas.microsoft.com/office/drawing/2014/main" id="{DC33EE40-D74F-4ECB-A8EF-266D752DC496}"/>
            </a:ext>
          </a:extLst>
        </xdr:cNvPr>
        <xdr:cNvSpPr/>
      </xdr:nvSpPr>
      <xdr:spPr>
        <a:xfrm>
          <a:off x="1783341" y="30308"/>
          <a:ext cx="5236584" cy="406112"/>
        </a:xfrm>
        <a:prstGeom prst="rect">
          <a:avLst/>
        </a:prstGeom>
        <a:solidFill>
          <a:srgbClr val="0000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u="sng">
              <a:solidFill>
                <a:schemeClr val="bg1"/>
              </a:solidFill>
            </a:rPr>
            <a:t>キャリアアップ助成金（社会保険適用時処遇改善コース）</a:t>
          </a:r>
          <a:endParaRPr kumimoji="1" lang="en-US" altLang="ja-JP" sz="1600" u="sng">
            <a:solidFill>
              <a:schemeClr val="bg1"/>
            </a:solidFill>
          </a:endParaRPr>
        </a:p>
      </xdr:txBody>
    </xdr:sp>
    <xdr:clientData/>
  </xdr:twoCellAnchor>
  <xdr:twoCellAnchor>
    <xdr:from>
      <xdr:col>8</xdr:col>
      <xdr:colOff>365414</xdr:colOff>
      <xdr:row>0</xdr:row>
      <xdr:rowOff>77931</xdr:rowOff>
    </xdr:from>
    <xdr:to>
      <xdr:col>10</xdr:col>
      <xdr:colOff>257175</xdr:colOff>
      <xdr:row>1</xdr:row>
      <xdr:rowOff>59747</xdr:rowOff>
    </xdr:to>
    <xdr:sp macro="" textlink="">
      <xdr:nvSpPr>
        <xdr:cNvPr id="5" name="四角形: 角を丸くする 4">
          <a:extLst>
            <a:ext uri="{FF2B5EF4-FFF2-40B4-BE49-F238E27FC236}">
              <a16:creationId xmlns:a16="http://schemas.microsoft.com/office/drawing/2014/main" id="{D8A4BCF7-471F-EBEF-EC5B-C3D72969659D}"/>
            </a:ext>
          </a:extLst>
        </xdr:cNvPr>
        <xdr:cNvSpPr/>
      </xdr:nvSpPr>
      <xdr:spPr>
        <a:xfrm>
          <a:off x="7604414" y="77931"/>
          <a:ext cx="2530186" cy="372341"/>
        </a:xfrm>
        <a:prstGeom prst="roundRect">
          <a:avLst/>
        </a:prstGeom>
        <a:solidFill>
          <a:srgbClr val="006C31"/>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労働時間延長メニュー</a:t>
          </a:r>
        </a:p>
      </xdr:txBody>
    </xdr:sp>
    <xdr:clientData/>
  </xdr:twoCellAnchor>
  <xdr:twoCellAnchor>
    <xdr:from>
      <xdr:col>10</xdr:col>
      <xdr:colOff>800099</xdr:colOff>
      <xdr:row>0</xdr:row>
      <xdr:rowOff>95250</xdr:rowOff>
    </xdr:from>
    <xdr:to>
      <xdr:col>17</xdr:col>
      <xdr:colOff>1657350</xdr:colOff>
      <xdr:row>1</xdr:row>
      <xdr:rowOff>76200</xdr:rowOff>
    </xdr:to>
    <xdr:sp macro="" textlink="">
      <xdr:nvSpPr>
        <xdr:cNvPr id="7" name="四角形: 角を丸くする 6">
          <a:extLst>
            <a:ext uri="{FF2B5EF4-FFF2-40B4-BE49-F238E27FC236}">
              <a16:creationId xmlns:a16="http://schemas.microsoft.com/office/drawing/2014/main" id="{F1655640-E744-4B69-8E43-C8C31206C8A2}"/>
            </a:ext>
          </a:extLst>
        </xdr:cNvPr>
        <xdr:cNvSpPr/>
      </xdr:nvSpPr>
      <xdr:spPr>
        <a:xfrm>
          <a:off x="10677524" y="95250"/>
          <a:ext cx="5676901" cy="371475"/>
        </a:xfrm>
        <a:prstGeom prst="roundRect">
          <a:avLst/>
        </a:prstGeom>
        <a:solidFill>
          <a:srgbClr val="3333FF"/>
        </a:solidFill>
        <a:ln w="25400" cap="flat" cmpd="sng" algn="ctr">
          <a:solidFill>
            <a:srgbClr val="0066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社会保険加入者人数関係なくすべての規模の全企業に対応！</a:t>
          </a:r>
        </a:p>
      </xdr:txBody>
    </xdr:sp>
    <xdr:clientData/>
  </xdr:twoCellAnchor>
  <xdr:twoCellAnchor>
    <xdr:from>
      <xdr:col>17</xdr:col>
      <xdr:colOff>379594</xdr:colOff>
      <xdr:row>10</xdr:row>
      <xdr:rowOff>285268</xdr:rowOff>
    </xdr:from>
    <xdr:to>
      <xdr:col>17</xdr:col>
      <xdr:colOff>1899147</xdr:colOff>
      <xdr:row>13</xdr:row>
      <xdr:rowOff>108243</xdr:rowOff>
    </xdr:to>
    <xdr:grpSp>
      <xdr:nvGrpSpPr>
        <xdr:cNvPr id="20" name="グループ化 19">
          <a:extLst>
            <a:ext uri="{FF2B5EF4-FFF2-40B4-BE49-F238E27FC236}">
              <a16:creationId xmlns:a16="http://schemas.microsoft.com/office/drawing/2014/main" id="{4CA86AC6-9522-4481-8247-E3B1EA3C2707}"/>
            </a:ext>
          </a:extLst>
        </xdr:cNvPr>
        <xdr:cNvGrpSpPr/>
      </xdr:nvGrpSpPr>
      <xdr:grpSpPr>
        <a:xfrm>
          <a:off x="15076669" y="3409468"/>
          <a:ext cx="1519553" cy="680225"/>
          <a:chOff x="14980229" y="5090702"/>
          <a:chExt cx="1220932" cy="451118"/>
        </a:xfrm>
      </xdr:grpSpPr>
      <xdr:sp macro="" textlink="">
        <xdr:nvSpPr>
          <xdr:cNvPr id="21" name="正方形/長方形 20">
            <a:extLst>
              <a:ext uri="{FF2B5EF4-FFF2-40B4-BE49-F238E27FC236}">
                <a16:creationId xmlns:a16="http://schemas.microsoft.com/office/drawing/2014/main" id="{DE8FCBFD-FA32-3DBB-D2F6-094070FF7E5C}"/>
              </a:ext>
            </a:extLst>
          </xdr:cNvPr>
          <xdr:cNvSpPr/>
        </xdr:nvSpPr>
        <xdr:spPr>
          <a:xfrm>
            <a:off x="14980229" y="5221434"/>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現行契約での給与の詳細です！</a:t>
            </a:r>
          </a:p>
        </xdr:txBody>
      </xdr:sp>
      <xdr:sp macro="" textlink="">
        <xdr:nvSpPr>
          <xdr:cNvPr id="22" name="矢印: 左 21">
            <a:extLst>
              <a:ext uri="{FF2B5EF4-FFF2-40B4-BE49-F238E27FC236}">
                <a16:creationId xmlns:a16="http://schemas.microsoft.com/office/drawing/2014/main" id="{9DAB1C48-6DFF-6123-1FE8-BDA86228DF39}"/>
              </a:ext>
            </a:extLst>
          </xdr:cNvPr>
          <xdr:cNvSpPr/>
        </xdr:nvSpPr>
        <xdr:spPr>
          <a:xfrm rot="5400000">
            <a:off x="15511545" y="5023274"/>
            <a:ext cx="115161" cy="250017"/>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twoCellAnchor>
    <xdr:from>
      <xdr:col>0</xdr:col>
      <xdr:colOff>104775</xdr:colOff>
      <xdr:row>0</xdr:row>
      <xdr:rowOff>85725</xdr:rowOff>
    </xdr:from>
    <xdr:to>
      <xdr:col>2</xdr:col>
      <xdr:colOff>1031297</xdr:colOff>
      <xdr:row>0</xdr:row>
      <xdr:rowOff>369744</xdr:rowOff>
    </xdr:to>
    <xdr:sp macro="" textlink="">
      <xdr:nvSpPr>
        <xdr:cNvPr id="2" name="矢印: 五方向 1">
          <a:hlinkClick xmlns:r="http://schemas.openxmlformats.org/officeDocument/2006/relationships" r:id="rId1"/>
          <a:extLst>
            <a:ext uri="{FF2B5EF4-FFF2-40B4-BE49-F238E27FC236}">
              <a16:creationId xmlns:a16="http://schemas.microsoft.com/office/drawing/2014/main" id="{173C2C25-E60D-44DB-A9B3-85A3846161C0}"/>
            </a:ext>
          </a:extLst>
        </xdr:cNvPr>
        <xdr:cNvSpPr/>
      </xdr:nvSpPr>
      <xdr:spPr>
        <a:xfrm flipH="1">
          <a:off x="104775" y="8572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18</xdr:col>
      <xdr:colOff>228602</xdr:colOff>
      <xdr:row>18</xdr:row>
      <xdr:rowOff>171450</xdr:rowOff>
    </xdr:from>
    <xdr:to>
      <xdr:col>19</xdr:col>
      <xdr:colOff>824979</xdr:colOff>
      <xdr:row>22</xdr:row>
      <xdr:rowOff>28563</xdr:rowOff>
    </xdr:to>
    <xdr:grpSp>
      <xdr:nvGrpSpPr>
        <xdr:cNvPr id="3" name="グループ化 2">
          <a:extLst>
            <a:ext uri="{FF2B5EF4-FFF2-40B4-BE49-F238E27FC236}">
              <a16:creationId xmlns:a16="http://schemas.microsoft.com/office/drawing/2014/main" id="{345DD1B9-909E-4445-89B0-43AE729D6A6B}"/>
            </a:ext>
          </a:extLst>
        </xdr:cNvPr>
        <xdr:cNvGrpSpPr/>
      </xdr:nvGrpSpPr>
      <xdr:grpSpPr>
        <a:xfrm>
          <a:off x="17240252" y="5581650"/>
          <a:ext cx="1282177" cy="1000113"/>
          <a:chOff x="14752357" y="5094203"/>
          <a:chExt cx="1002001" cy="667946"/>
        </a:xfrm>
      </xdr:grpSpPr>
      <xdr:sp macro="" textlink="">
        <xdr:nvSpPr>
          <xdr:cNvPr id="4" name="正方形/長方形 3">
            <a:extLst>
              <a:ext uri="{FF2B5EF4-FFF2-40B4-BE49-F238E27FC236}">
                <a16:creationId xmlns:a16="http://schemas.microsoft.com/office/drawing/2014/main" id="{79A82AAA-E696-F037-40E7-767C9A45C8BA}"/>
              </a:ext>
            </a:extLst>
          </xdr:cNvPr>
          <xdr:cNvSpPr/>
        </xdr:nvSpPr>
        <xdr:spPr>
          <a:xfrm>
            <a:off x="14890901"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指標は、個別に選択・移動して提案して下さい！</a:t>
            </a:r>
          </a:p>
        </xdr:txBody>
      </xdr:sp>
      <xdr:sp macro="" textlink="">
        <xdr:nvSpPr>
          <xdr:cNvPr id="6" name="矢印: 左 5">
            <a:extLst>
              <a:ext uri="{FF2B5EF4-FFF2-40B4-BE49-F238E27FC236}">
                <a16:creationId xmlns:a16="http://schemas.microsoft.com/office/drawing/2014/main" id="{785E1B10-647B-97EB-769C-2D9269C0902D}"/>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18</xdr:col>
      <xdr:colOff>135467</xdr:colOff>
      <xdr:row>22</xdr:row>
      <xdr:rowOff>167891</xdr:rowOff>
    </xdr:from>
    <xdr:to>
      <xdr:col>20</xdr:col>
      <xdr:colOff>97076</xdr:colOff>
      <xdr:row>24</xdr:row>
      <xdr:rowOff>76103</xdr:rowOff>
    </xdr:to>
    <xdr:grpSp>
      <xdr:nvGrpSpPr>
        <xdr:cNvPr id="8" name="グループ化 7">
          <a:extLst>
            <a:ext uri="{FF2B5EF4-FFF2-40B4-BE49-F238E27FC236}">
              <a16:creationId xmlns:a16="http://schemas.microsoft.com/office/drawing/2014/main" id="{8FC3ABBA-A00F-4942-9B28-3946B0FE97C0}"/>
            </a:ext>
          </a:extLst>
        </xdr:cNvPr>
        <xdr:cNvGrpSpPr/>
      </xdr:nvGrpSpPr>
      <xdr:grpSpPr>
        <a:xfrm>
          <a:off x="17147117" y="6721091"/>
          <a:ext cx="1733259" cy="479712"/>
          <a:chOff x="14789577" y="5215071"/>
          <a:chExt cx="1359477" cy="320386"/>
        </a:xfrm>
      </xdr:grpSpPr>
      <xdr:sp macro="" textlink="">
        <xdr:nvSpPr>
          <xdr:cNvPr id="9" name="正方形/長方形 8">
            <a:extLst>
              <a:ext uri="{FF2B5EF4-FFF2-40B4-BE49-F238E27FC236}">
                <a16:creationId xmlns:a16="http://schemas.microsoft.com/office/drawing/2014/main" id="{95B6CFB0-3BC3-2705-3AB7-7C3194708C49}"/>
              </a:ext>
            </a:extLst>
          </xdr:cNvPr>
          <xdr:cNvSpPr/>
        </xdr:nvSpPr>
        <xdr:spPr>
          <a:xfrm>
            <a:off x="14928122" y="5215071"/>
            <a:ext cx="1220932" cy="320386"/>
          </a:xfrm>
          <a:prstGeom prst="rect">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t>ご提案したい新契約（お勧め）</a:t>
            </a:r>
          </a:p>
        </xdr:txBody>
      </xdr:sp>
      <xdr:sp macro="" textlink="">
        <xdr:nvSpPr>
          <xdr:cNvPr id="10" name="矢印: 左 9">
            <a:extLst>
              <a:ext uri="{FF2B5EF4-FFF2-40B4-BE49-F238E27FC236}">
                <a16:creationId xmlns:a16="http://schemas.microsoft.com/office/drawing/2014/main" id="{9CA0E819-A897-7CCA-496F-B588A64728FB}"/>
              </a:ext>
            </a:extLst>
          </xdr:cNvPr>
          <xdr:cNvSpPr/>
        </xdr:nvSpPr>
        <xdr:spPr>
          <a:xfrm>
            <a:off x="14789577" y="5260659"/>
            <a:ext cx="138545" cy="207818"/>
          </a:xfrm>
          <a:prstGeom prst="leftArrow">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17</xdr:col>
      <xdr:colOff>318049</xdr:colOff>
      <xdr:row>21</xdr:row>
      <xdr:rowOff>72746</xdr:rowOff>
    </xdr:from>
    <xdr:to>
      <xdr:col>17</xdr:col>
      <xdr:colOff>1880374</xdr:colOff>
      <xdr:row>23</xdr:row>
      <xdr:rowOff>163262</xdr:rowOff>
    </xdr:to>
    <xdr:grpSp>
      <xdr:nvGrpSpPr>
        <xdr:cNvPr id="14" name="グループ化 13">
          <a:extLst>
            <a:ext uri="{FF2B5EF4-FFF2-40B4-BE49-F238E27FC236}">
              <a16:creationId xmlns:a16="http://schemas.microsoft.com/office/drawing/2014/main" id="{4BF6210E-96D1-448B-94E4-66C8382AB87D}"/>
            </a:ext>
          </a:extLst>
        </xdr:cNvPr>
        <xdr:cNvGrpSpPr/>
      </xdr:nvGrpSpPr>
      <xdr:grpSpPr>
        <a:xfrm>
          <a:off x="15015124" y="6340196"/>
          <a:ext cx="1562325" cy="662016"/>
          <a:chOff x="14928122" y="5093315"/>
          <a:chExt cx="1220932" cy="442142"/>
        </a:xfrm>
      </xdr:grpSpPr>
      <xdr:sp macro="" textlink="">
        <xdr:nvSpPr>
          <xdr:cNvPr id="15" name="正方形/長方形 14">
            <a:extLst>
              <a:ext uri="{FF2B5EF4-FFF2-40B4-BE49-F238E27FC236}">
                <a16:creationId xmlns:a16="http://schemas.microsoft.com/office/drawing/2014/main" id="{FFFB92F3-8117-92F9-F8C9-D87E8BE025DB}"/>
              </a:ext>
            </a:extLst>
          </xdr:cNvPr>
          <xdr:cNvSpPr/>
        </xdr:nvSpPr>
        <xdr:spPr>
          <a:xfrm>
            <a:off x="14928122" y="5215071"/>
            <a:ext cx="1220932" cy="320386"/>
          </a:xfrm>
          <a:prstGeom prst="rect">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t>ご提案したい新契約（お勧め）</a:t>
            </a:r>
          </a:p>
        </xdr:txBody>
      </xdr:sp>
      <xdr:sp macro="" textlink="">
        <xdr:nvSpPr>
          <xdr:cNvPr id="16" name="矢印: 左 15">
            <a:extLst>
              <a:ext uri="{FF2B5EF4-FFF2-40B4-BE49-F238E27FC236}">
                <a16:creationId xmlns:a16="http://schemas.microsoft.com/office/drawing/2014/main" id="{377C0CB7-9933-A55E-00AC-8791C4C7945B}"/>
              </a:ext>
            </a:extLst>
          </xdr:cNvPr>
          <xdr:cNvSpPr/>
        </xdr:nvSpPr>
        <xdr:spPr>
          <a:xfrm rot="5400000">
            <a:off x="15469575" y="5030932"/>
            <a:ext cx="118403" cy="243170"/>
          </a:xfrm>
          <a:prstGeom prst="leftArrow">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60613</xdr:rowOff>
    </xdr:from>
    <xdr:to>
      <xdr:col>4</xdr:col>
      <xdr:colOff>319520</xdr:colOff>
      <xdr:row>0</xdr:row>
      <xdr:rowOff>344632</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216410B8-7947-43C3-AF33-4D1B542AC927}"/>
            </a:ext>
          </a:extLst>
        </xdr:cNvPr>
        <xdr:cNvSpPr/>
      </xdr:nvSpPr>
      <xdr:spPr>
        <a:xfrm flipH="1">
          <a:off x="181841" y="60613"/>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266700</xdr:colOff>
      <xdr:row>68</xdr:row>
      <xdr:rowOff>133350</xdr:rowOff>
    </xdr:from>
    <xdr:to>
      <xdr:col>21</xdr:col>
      <xdr:colOff>587375</xdr:colOff>
      <xdr:row>91</xdr:row>
      <xdr:rowOff>150783</xdr:rowOff>
    </xdr:to>
    <xdr:pic>
      <xdr:nvPicPr>
        <xdr:cNvPr id="5" name="図 4">
          <a:extLst>
            <a:ext uri="{FF2B5EF4-FFF2-40B4-BE49-F238E27FC236}">
              <a16:creationId xmlns:a16="http://schemas.microsoft.com/office/drawing/2014/main" id="{110D7F07-3A48-46A3-A55D-564E488FF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2100" y="12839700"/>
          <a:ext cx="7019925" cy="3960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130993</xdr:rowOff>
    </xdr:from>
    <xdr:to>
      <xdr:col>10</xdr:col>
      <xdr:colOff>966676</xdr:colOff>
      <xdr:row>105</xdr:row>
      <xdr:rowOff>66675</xdr:rowOff>
    </xdr:to>
    <xdr:pic>
      <xdr:nvPicPr>
        <xdr:cNvPr id="9" name="図 8">
          <a:extLst>
            <a:ext uri="{FF2B5EF4-FFF2-40B4-BE49-F238E27FC236}">
              <a16:creationId xmlns:a16="http://schemas.microsoft.com/office/drawing/2014/main" id="{E5A7B7A4-223A-4676-B51B-B4876E03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208943"/>
          <a:ext cx="8808926" cy="4907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428625</xdr:colOff>
      <xdr:row>11</xdr:row>
      <xdr:rowOff>67178</xdr:rowOff>
    </xdr:from>
    <xdr:to>
      <xdr:col>13</xdr:col>
      <xdr:colOff>309562</xdr:colOff>
      <xdr:row>17</xdr:row>
      <xdr:rowOff>96837</xdr:rowOff>
    </xdr:to>
    <xdr:pic>
      <xdr:nvPicPr>
        <xdr:cNvPr id="2" name="図 1">
          <a:extLst>
            <a:ext uri="{FF2B5EF4-FFF2-40B4-BE49-F238E27FC236}">
              <a16:creationId xmlns:a16="http://schemas.microsoft.com/office/drawing/2014/main" id="{F5F20E97-0774-8EC7-04F4-7DEEA7E224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0250" y="3337428"/>
          <a:ext cx="4135437" cy="1331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47628</xdr:colOff>
      <xdr:row>0</xdr:row>
      <xdr:rowOff>39690</xdr:rowOff>
    </xdr:from>
    <xdr:to>
      <xdr:col>1</xdr:col>
      <xdr:colOff>948750</xdr:colOff>
      <xdr:row>1</xdr:row>
      <xdr:rowOff>69709</xdr:rowOff>
    </xdr:to>
    <xdr:sp macro="" textlink="">
      <xdr:nvSpPr>
        <xdr:cNvPr id="4" name="矢印: 五方向 3">
          <a:hlinkClick xmlns:r="http://schemas.openxmlformats.org/officeDocument/2006/relationships" r:id="rId4"/>
          <a:extLst>
            <a:ext uri="{FF2B5EF4-FFF2-40B4-BE49-F238E27FC236}">
              <a16:creationId xmlns:a16="http://schemas.microsoft.com/office/drawing/2014/main" id="{0AC9FA11-925A-42DA-9988-F6D2B1DF34EA}"/>
            </a:ext>
          </a:extLst>
        </xdr:cNvPr>
        <xdr:cNvSpPr/>
      </xdr:nvSpPr>
      <xdr:spPr>
        <a:xfrm flipH="1">
          <a:off x="47628" y="39690"/>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66675</xdr:rowOff>
    </xdr:from>
    <xdr:to>
      <xdr:col>3</xdr:col>
      <xdr:colOff>307397</xdr:colOff>
      <xdr:row>0</xdr:row>
      <xdr:rowOff>350694</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9D0DB59C-0B95-4E02-9EEC-5B01645E1755}"/>
            </a:ext>
          </a:extLst>
        </xdr:cNvPr>
        <xdr:cNvSpPr/>
      </xdr:nvSpPr>
      <xdr:spPr>
        <a:xfrm flipH="1">
          <a:off x="180975" y="6667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C67E-F8D7-4BB7-8597-402992100CC7}">
  <sheetPr>
    <tabColor rgb="FFFFFF00"/>
  </sheetPr>
  <dimension ref="A1:AD192"/>
  <sheetViews>
    <sheetView showGridLines="0" tabSelected="1" zoomScaleNormal="100" workbookViewId="0"/>
  </sheetViews>
  <sheetFormatPr defaultRowHeight="13.5" x14ac:dyDescent="0.15"/>
  <cols>
    <col min="1" max="1" width="1.75" customWidth="1"/>
    <col min="2" max="2" width="3.25" style="668" customWidth="1"/>
    <col min="3" max="3" width="6.75" customWidth="1"/>
    <col min="6" max="6" width="9" customWidth="1"/>
    <col min="10" max="10" width="11.5" customWidth="1"/>
  </cols>
  <sheetData>
    <row r="1" spans="2:30" x14ac:dyDescent="0.15">
      <c r="T1" s="669"/>
      <c r="U1" s="669"/>
      <c r="V1" s="669"/>
      <c r="W1" s="669"/>
      <c r="X1" s="669"/>
      <c r="Y1" s="669"/>
      <c r="Z1" s="669"/>
      <c r="AA1" s="669"/>
      <c r="AB1" s="669"/>
      <c r="AC1" s="669"/>
      <c r="AD1" s="669"/>
    </row>
    <row r="2" spans="2:30" ht="39.75" customHeight="1" x14ac:dyDescent="0.15">
      <c r="D2" s="670"/>
      <c r="T2" s="669"/>
      <c r="U2" s="669"/>
      <c r="V2" s="669"/>
      <c r="W2" s="669"/>
      <c r="X2" s="669"/>
      <c r="Y2" s="669"/>
      <c r="Z2" s="669"/>
      <c r="AA2" s="669"/>
      <c r="AB2" s="669"/>
      <c r="AC2" s="669"/>
      <c r="AD2" s="669"/>
    </row>
    <row r="3" spans="2:30" ht="23.25" customHeight="1" x14ac:dyDescent="0.15">
      <c r="B3" s="671"/>
      <c r="C3" s="217"/>
      <c r="J3" s="672"/>
      <c r="T3" s="669"/>
      <c r="U3" s="669"/>
      <c r="V3" s="669"/>
      <c r="W3" s="669"/>
      <c r="X3" s="669"/>
      <c r="Y3" s="669"/>
      <c r="Z3" s="669"/>
      <c r="AA3" s="669"/>
      <c r="AB3" s="669"/>
      <c r="AC3" s="669"/>
      <c r="AD3" s="669"/>
    </row>
    <row r="4" spans="2:30" ht="27.75" customHeight="1" x14ac:dyDescent="0.15">
      <c r="B4" s="671"/>
      <c r="C4" s="217"/>
      <c r="J4" s="672"/>
      <c r="T4" s="669"/>
      <c r="U4" s="669"/>
      <c r="V4" s="669"/>
      <c r="W4" s="669"/>
      <c r="X4" s="669"/>
      <c r="Y4" s="669"/>
      <c r="Z4" s="669"/>
      <c r="AA4" s="669"/>
      <c r="AB4" s="669"/>
      <c r="AC4" s="669"/>
      <c r="AD4" s="669"/>
    </row>
    <row r="5" spans="2:30" ht="23.25" customHeight="1" x14ac:dyDescent="0.15">
      <c r="B5" s="673"/>
      <c r="C5" s="760" t="s">
        <v>193</v>
      </c>
      <c r="D5" s="760"/>
      <c r="J5" s="674"/>
      <c r="T5" s="669"/>
      <c r="U5" s="669"/>
      <c r="V5" s="669"/>
      <c r="W5" s="669"/>
      <c r="X5" s="669"/>
      <c r="Y5" s="669"/>
      <c r="Z5" s="669"/>
      <c r="AA5" s="669"/>
      <c r="AB5" s="669"/>
      <c r="AC5" s="669"/>
      <c r="AD5" s="669"/>
    </row>
    <row r="6" spans="2:30" ht="23.25" customHeight="1" x14ac:dyDescent="0.15">
      <c r="B6" s="671"/>
      <c r="G6" s="675"/>
      <c r="K6" s="675"/>
      <c r="N6" s="675"/>
      <c r="T6" s="669"/>
      <c r="U6" s="669"/>
      <c r="V6" s="669"/>
      <c r="W6" s="669"/>
      <c r="X6" s="669"/>
      <c r="Y6" s="669"/>
      <c r="Z6" s="669"/>
      <c r="AA6" s="669"/>
      <c r="AB6" s="669"/>
      <c r="AC6" s="669"/>
      <c r="AD6" s="669"/>
    </row>
    <row r="7" spans="2:30" ht="23.25" customHeight="1" x14ac:dyDescent="0.15">
      <c r="B7" s="671"/>
      <c r="J7" s="674"/>
      <c r="T7" s="669"/>
      <c r="U7" s="669"/>
      <c r="V7" s="669"/>
      <c r="W7" s="669"/>
      <c r="X7" s="669"/>
      <c r="Y7" s="669"/>
      <c r="Z7" s="669"/>
      <c r="AA7" s="669"/>
      <c r="AB7" s="669"/>
      <c r="AC7" s="669"/>
      <c r="AD7" s="669"/>
    </row>
    <row r="8" spans="2:30" ht="23.25" customHeight="1" x14ac:dyDescent="0.15">
      <c r="B8" s="671"/>
      <c r="T8" s="669"/>
      <c r="U8" s="669"/>
      <c r="V8" s="669"/>
      <c r="W8" s="669"/>
      <c r="X8" s="669"/>
      <c r="Y8" s="669"/>
      <c r="Z8" s="669"/>
      <c r="AA8" s="669"/>
      <c r="AB8" s="669"/>
      <c r="AC8" s="669"/>
      <c r="AD8" s="669"/>
    </row>
    <row r="9" spans="2:30" ht="23.25" customHeight="1" x14ac:dyDescent="0.15">
      <c r="B9" s="671"/>
      <c r="T9" s="669"/>
      <c r="U9" s="669"/>
      <c r="V9" s="669"/>
      <c r="W9" s="669"/>
      <c r="X9" s="669"/>
      <c r="Y9" s="669"/>
      <c r="Z9" s="669"/>
      <c r="AA9" s="669"/>
      <c r="AB9" s="669"/>
      <c r="AC9" s="669"/>
      <c r="AD9" s="669"/>
    </row>
    <row r="10" spans="2:30" ht="23.25" customHeight="1" x14ac:dyDescent="0.15">
      <c r="B10" s="671"/>
      <c r="T10" s="669"/>
      <c r="U10" s="669"/>
      <c r="V10" s="669"/>
      <c r="W10" s="669"/>
      <c r="X10" s="669"/>
      <c r="Y10" s="669"/>
      <c r="Z10" s="669"/>
      <c r="AA10" s="669"/>
      <c r="AB10" s="669"/>
      <c r="AC10" s="669"/>
      <c r="AD10" s="669"/>
    </row>
    <row r="11" spans="2:30" ht="23.25" customHeight="1" x14ac:dyDescent="0.15">
      <c r="B11" s="671"/>
      <c r="T11" s="669"/>
      <c r="U11" s="669"/>
      <c r="V11" s="669"/>
      <c r="W11" s="669"/>
      <c r="X11" s="669"/>
      <c r="Y11" s="669"/>
      <c r="Z11" s="669"/>
      <c r="AA11" s="669"/>
      <c r="AB11" s="669"/>
      <c r="AC11" s="669"/>
      <c r="AD11" s="669"/>
    </row>
    <row r="12" spans="2:30" ht="23.1" customHeight="1" x14ac:dyDescent="0.15">
      <c r="T12" s="669"/>
      <c r="U12" s="669"/>
      <c r="V12" s="669"/>
      <c r="W12" s="669"/>
      <c r="X12" s="669"/>
      <c r="Y12" s="669"/>
      <c r="Z12" s="669"/>
      <c r="AA12" s="669"/>
      <c r="AB12" s="669"/>
      <c r="AC12" s="669"/>
      <c r="AD12" s="669"/>
    </row>
    <row r="13" spans="2:30" ht="23.1" customHeight="1" x14ac:dyDescent="0.15">
      <c r="B13" s="671"/>
      <c r="T13" s="669"/>
      <c r="U13" s="669"/>
      <c r="V13" s="669"/>
      <c r="W13" s="669"/>
      <c r="X13" s="669"/>
      <c r="Y13" s="669"/>
      <c r="Z13" s="669"/>
      <c r="AA13" s="669"/>
      <c r="AB13" s="669"/>
      <c r="AC13" s="669"/>
      <c r="AD13" s="669"/>
    </row>
    <row r="14" spans="2:30" ht="23.1" customHeight="1" x14ac:dyDescent="0.15">
      <c r="B14" s="671"/>
      <c r="T14" s="669"/>
      <c r="U14" s="669"/>
      <c r="V14" s="669"/>
      <c r="W14" s="669"/>
      <c r="X14" s="669"/>
      <c r="Y14" s="669"/>
      <c r="Z14" s="669"/>
      <c r="AA14" s="669"/>
      <c r="AB14" s="669"/>
      <c r="AC14" s="669"/>
      <c r="AD14" s="669"/>
    </row>
    <row r="15" spans="2:30" ht="23.1" customHeight="1" x14ac:dyDescent="0.15">
      <c r="B15" s="671"/>
      <c r="T15" s="669"/>
      <c r="U15" s="669"/>
      <c r="V15" s="669"/>
      <c r="W15" s="669"/>
      <c r="X15" s="669"/>
      <c r="Y15" s="669"/>
      <c r="Z15" s="669"/>
      <c r="AA15" s="669"/>
      <c r="AB15" s="669"/>
      <c r="AC15" s="669"/>
      <c r="AD15" s="669"/>
    </row>
    <row r="16" spans="2:30" ht="23.1" customHeight="1" x14ac:dyDescent="0.15">
      <c r="T16" s="669"/>
      <c r="U16" s="669"/>
      <c r="V16" s="669"/>
      <c r="W16" s="669"/>
      <c r="X16" s="669"/>
      <c r="Y16" s="669"/>
      <c r="Z16" s="669"/>
      <c r="AA16" s="669"/>
      <c r="AB16" s="669"/>
      <c r="AC16" s="669"/>
      <c r="AD16" s="669"/>
    </row>
    <row r="17" spans="2:30" ht="36.75" customHeight="1" x14ac:dyDescent="0.15">
      <c r="T17" s="669"/>
      <c r="U17" s="669"/>
      <c r="V17" s="669"/>
      <c r="W17" s="669"/>
      <c r="X17" s="669"/>
      <c r="Y17" s="669"/>
      <c r="Z17" s="669"/>
      <c r="AA17" s="669"/>
      <c r="AB17" s="669"/>
      <c r="AC17" s="669"/>
      <c r="AD17" s="669"/>
    </row>
    <row r="18" spans="2:30" ht="36.75" customHeight="1" x14ac:dyDescent="0.15">
      <c r="B18" s="676"/>
      <c r="C18" s="669"/>
      <c r="D18" s="669"/>
      <c r="E18" s="669"/>
      <c r="F18" s="669"/>
      <c r="G18" s="669"/>
      <c r="H18" s="669"/>
      <c r="I18" s="677"/>
      <c r="J18" s="669"/>
      <c r="K18" s="669"/>
      <c r="L18" s="669"/>
      <c r="M18" s="669"/>
      <c r="N18" s="669"/>
      <c r="O18" s="669"/>
      <c r="P18" s="669"/>
      <c r="Q18" s="669"/>
      <c r="R18" s="669"/>
      <c r="S18" s="669"/>
      <c r="T18" s="669"/>
      <c r="U18" s="669"/>
      <c r="V18" s="669"/>
      <c r="W18" s="669"/>
      <c r="X18" s="669"/>
      <c r="Y18" s="669"/>
      <c r="Z18" s="669"/>
      <c r="AA18" s="669"/>
      <c r="AB18" s="669"/>
      <c r="AC18" s="669"/>
      <c r="AD18" s="669"/>
    </row>
    <row r="19" spans="2:30" ht="36.75" customHeight="1" x14ac:dyDescent="0.15">
      <c r="B19" s="676"/>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row>
    <row r="20" spans="2:30" ht="36.75" customHeight="1" x14ac:dyDescent="0.15">
      <c r="B20" s="676"/>
      <c r="C20" s="669"/>
      <c r="D20" s="669"/>
      <c r="E20" s="669"/>
      <c r="F20" s="669"/>
      <c r="G20" s="669"/>
      <c r="H20" s="677" t="s">
        <v>387</v>
      </c>
      <c r="I20" s="669"/>
      <c r="J20" s="669"/>
      <c r="K20" s="669"/>
      <c r="L20" s="669"/>
      <c r="M20" s="669"/>
      <c r="N20" s="669"/>
      <c r="O20" s="669"/>
      <c r="P20" s="669"/>
      <c r="Q20" s="669"/>
      <c r="R20" s="669"/>
      <c r="S20" s="669"/>
      <c r="T20" s="669"/>
      <c r="U20" s="669"/>
      <c r="V20" s="669"/>
      <c r="W20" s="669"/>
      <c r="X20" s="669"/>
      <c r="Y20" s="669"/>
      <c r="Z20" s="669"/>
      <c r="AA20" s="669"/>
      <c r="AB20" s="669"/>
      <c r="AC20" s="669"/>
      <c r="AD20" s="669"/>
    </row>
    <row r="21" spans="2:30" ht="36.75" customHeight="1" x14ac:dyDescent="0.15">
      <c r="B21" s="676"/>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row>
    <row r="22" spans="2:30" ht="36.75" customHeight="1" x14ac:dyDescent="0.15">
      <c r="B22" s="676"/>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row>
    <row r="23" spans="2:30" ht="36.75" customHeight="1" x14ac:dyDescent="0.15">
      <c r="B23" s="676"/>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row>
    <row r="24" spans="2:30" ht="36.75" customHeight="1" x14ac:dyDescent="0.15">
      <c r="B24" s="676"/>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row>
    <row r="25" spans="2:30" ht="36.75" customHeight="1" x14ac:dyDescent="0.15">
      <c r="B25" s="676"/>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row>
    <row r="26" spans="2:30" ht="36.75" customHeight="1" x14ac:dyDescent="0.15">
      <c r="B26" s="676"/>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row>
    <row r="27" spans="2:30" ht="36.75" customHeight="1" x14ac:dyDescent="0.15">
      <c r="B27" s="676"/>
      <c r="C27" s="669"/>
      <c r="D27" s="669"/>
      <c r="E27" s="669"/>
      <c r="F27" s="669"/>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row>
    <row r="28" spans="2:30" ht="36.75" customHeight="1" x14ac:dyDescent="0.15">
      <c r="B28" s="676"/>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row>
    <row r="29" spans="2:30" ht="36.75" customHeight="1" x14ac:dyDescent="0.15">
      <c r="B29" s="676"/>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row>
    <row r="30" spans="2:30" ht="36.75" customHeight="1" x14ac:dyDescent="0.15">
      <c r="B30" s="676"/>
      <c r="C30" s="669"/>
      <c r="D30" s="669"/>
      <c r="E30" s="669"/>
      <c r="F30" s="669"/>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row>
    <row r="31" spans="2:30" ht="36.75" customHeight="1" x14ac:dyDescent="0.15">
      <c r="B31" s="676"/>
      <c r="C31" s="669"/>
      <c r="D31" s="669"/>
      <c r="E31" s="669"/>
      <c r="F31" s="669"/>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row>
    <row r="32" spans="2:30" ht="36.75" customHeight="1" x14ac:dyDescent="0.15">
      <c r="B32" s="676"/>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row>
    <row r="33" spans="2:8" ht="23.1" customHeight="1" x14ac:dyDescent="0.15">
      <c r="B33" s="678" t="s">
        <v>192</v>
      </c>
      <c r="C33" s="679"/>
      <c r="D33" s="679"/>
    </row>
    <row r="34" spans="2:8" ht="23.1" customHeight="1" x14ac:dyDescent="0.15">
      <c r="B34" s="671"/>
    </row>
    <row r="35" spans="2:8" ht="23.1" customHeight="1" x14ac:dyDescent="0.15">
      <c r="B35" s="680" t="s">
        <v>199</v>
      </c>
      <c r="C35" s="681" t="s">
        <v>198</v>
      </c>
      <c r="D35" s="682"/>
      <c r="E35" s="683"/>
    </row>
    <row r="36" spans="2:8" ht="23.1" customHeight="1" x14ac:dyDescent="0.15">
      <c r="B36" s="680"/>
      <c r="C36" s="684" t="s">
        <v>310</v>
      </c>
    </row>
    <row r="37" spans="2:8" ht="23.1" customHeight="1" x14ac:dyDescent="0.15">
      <c r="B37" s="680"/>
      <c r="D37" s="684" t="s">
        <v>311</v>
      </c>
    </row>
    <row r="38" spans="2:8" ht="23.1" customHeight="1" x14ac:dyDescent="0.15">
      <c r="B38" s="680"/>
      <c r="C38" s="685"/>
      <c r="D38" s="686" t="s">
        <v>308</v>
      </c>
    </row>
    <row r="39" spans="2:8" ht="23.1" customHeight="1" x14ac:dyDescent="0.15">
      <c r="B39" s="680"/>
      <c r="C39" s="687"/>
      <c r="D39" s="687"/>
      <c r="E39" s="687"/>
      <c r="F39" s="687"/>
      <c r="G39" s="687"/>
      <c r="H39" s="688"/>
    </row>
    <row r="40" spans="2:8" ht="23.1" customHeight="1" x14ac:dyDescent="0.15">
      <c r="B40" s="680"/>
      <c r="C40" s="687"/>
      <c r="D40" s="687"/>
      <c r="E40" s="687"/>
      <c r="F40" s="687"/>
      <c r="G40" s="687"/>
      <c r="H40" s="688"/>
    </row>
    <row r="41" spans="2:8" ht="23.1" customHeight="1" x14ac:dyDescent="0.15">
      <c r="B41" s="680"/>
      <c r="C41" s="687"/>
      <c r="D41" s="688"/>
      <c r="E41" s="688"/>
      <c r="F41" s="688"/>
      <c r="G41" s="688"/>
      <c r="H41" s="688"/>
    </row>
    <row r="42" spans="2:8" ht="23.1" customHeight="1" x14ac:dyDescent="0.15">
      <c r="B42" s="680"/>
      <c r="C42" s="685"/>
      <c r="D42" s="689"/>
    </row>
    <row r="43" spans="2:8" ht="23.1" customHeight="1" x14ac:dyDescent="0.15">
      <c r="B43" s="680"/>
      <c r="C43" s="685"/>
      <c r="D43" s="689"/>
    </row>
    <row r="44" spans="2:8" ht="23.1" customHeight="1" x14ac:dyDescent="0.15">
      <c r="B44" s="680"/>
      <c r="C44" s="685"/>
      <c r="D44" s="689"/>
    </row>
    <row r="45" spans="2:8" ht="23.1" customHeight="1" x14ac:dyDescent="0.15">
      <c r="B45" s="680"/>
      <c r="C45" s="685"/>
      <c r="D45" s="689"/>
    </row>
    <row r="46" spans="2:8" ht="23.1" customHeight="1" x14ac:dyDescent="0.15">
      <c r="B46" s="680"/>
      <c r="C46" s="685"/>
      <c r="D46" s="689"/>
    </row>
    <row r="47" spans="2:8" ht="23.1" customHeight="1" x14ac:dyDescent="0.15">
      <c r="B47" s="680"/>
      <c r="C47" s="685"/>
      <c r="D47" s="689"/>
    </row>
    <row r="48" spans="2:8" ht="22.5" customHeight="1" x14ac:dyDescent="0.15">
      <c r="B48" s="680"/>
      <c r="C48" s="685"/>
      <c r="D48" s="689"/>
    </row>
    <row r="49" spans="2:14" ht="22.5" customHeight="1" x14ac:dyDescent="0.15">
      <c r="B49" s="680"/>
      <c r="C49" s="685"/>
      <c r="D49" s="689"/>
    </row>
    <row r="50" spans="2:14" ht="23.1" customHeight="1" x14ac:dyDescent="0.15">
      <c r="B50" s="680"/>
      <c r="C50" s="687" t="s">
        <v>309</v>
      </c>
      <c r="D50" s="689"/>
    </row>
    <row r="51" spans="2:14" ht="23.1" customHeight="1" x14ac:dyDescent="0.15">
      <c r="B51" s="680"/>
      <c r="C51" s="687" t="s">
        <v>392</v>
      </c>
      <c r="D51" s="689"/>
    </row>
    <row r="52" spans="2:14" ht="23.1" customHeight="1" x14ac:dyDescent="0.15">
      <c r="B52" s="680"/>
      <c r="C52" s="687" t="s">
        <v>203</v>
      </c>
      <c r="D52" s="689"/>
      <c r="N52" s="690"/>
    </row>
    <row r="53" spans="2:14" ht="23.1" customHeight="1" x14ac:dyDescent="0.15">
      <c r="B53" s="680"/>
      <c r="C53" s="691" t="s">
        <v>202</v>
      </c>
      <c r="D53" s="689"/>
    </row>
    <row r="54" spans="2:14" ht="10.5" customHeight="1" x14ac:dyDescent="0.15">
      <c r="B54" s="680"/>
      <c r="C54" s="687"/>
      <c r="D54" s="692" t="s">
        <v>175</v>
      </c>
      <c r="F54" s="692"/>
    </row>
    <row r="55" spans="2:14" ht="23.1" customHeight="1" x14ac:dyDescent="0.15">
      <c r="B55" s="680"/>
      <c r="C55" s="687"/>
      <c r="D55" s="689"/>
    </row>
    <row r="56" spans="2:14" ht="23.1" customHeight="1" x14ac:dyDescent="0.15">
      <c r="B56" s="680"/>
      <c r="C56" s="687"/>
      <c r="D56" s="689"/>
    </row>
    <row r="57" spans="2:14" ht="23.1" customHeight="1" x14ac:dyDescent="0.15">
      <c r="B57" s="680"/>
      <c r="C57" s="687"/>
      <c r="D57" s="689"/>
    </row>
    <row r="58" spans="2:14" ht="23.1" customHeight="1" x14ac:dyDescent="0.15">
      <c r="B58" s="680"/>
      <c r="C58" s="687"/>
      <c r="D58" s="689"/>
    </row>
    <row r="59" spans="2:14" ht="23.1" customHeight="1" x14ac:dyDescent="0.15">
      <c r="B59" s="680"/>
      <c r="C59" s="685"/>
    </row>
    <row r="60" spans="2:14" ht="23.1" customHeight="1" x14ac:dyDescent="0.15">
      <c r="B60" s="680"/>
      <c r="C60" s="685"/>
    </row>
    <row r="61" spans="2:14" ht="23.1" customHeight="1" x14ac:dyDescent="0.15">
      <c r="B61" s="680"/>
      <c r="C61" s="685"/>
    </row>
    <row r="62" spans="2:14" ht="23.1" customHeight="1" x14ac:dyDescent="0.15">
      <c r="B62" s="680"/>
      <c r="C62" s="685"/>
    </row>
    <row r="63" spans="2:14" ht="23.1" customHeight="1" x14ac:dyDescent="0.15">
      <c r="B63" s="680"/>
      <c r="C63" s="685"/>
    </row>
    <row r="64" spans="2:14" ht="23.1" customHeight="1" x14ac:dyDescent="0.15">
      <c r="B64" s="680"/>
      <c r="C64" s="685"/>
    </row>
    <row r="65" spans="2:10" ht="23.1" customHeight="1" x14ac:dyDescent="0.15">
      <c r="B65" s="680"/>
      <c r="C65" s="685"/>
    </row>
    <row r="66" spans="2:10" ht="23.1" customHeight="1" x14ac:dyDescent="0.15">
      <c r="B66" s="680"/>
      <c r="C66" s="685"/>
    </row>
    <row r="67" spans="2:10" ht="23.1" customHeight="1" x14ac:dyDescent="0.15">
      <c r="B67" s="680"/>
      <c r="C67" s="685"/>
    </row>
    <row r="68" spans="2:10" ht="23.1" customHeight="1" x14ac:dyDescent="0.15">
      <c r="B68" s="680"/>
      <c r="C68" s="693" t="s">
        <v>397</v>
      </c>
    </row>
    <row r="69" spans="2:10" ht="23.1" customHeight="1" x14ac:dyDescent="0.15">
      <c r="B69" s="680"/>
      <c r="C69" s="693" t="s">
        <v>286</v>
      </c>
    </row>
    <row r="70" spans="2:10" ht="23.1" customHeight="1" x14ac:dyDescent="0.15">
      <c r="B70" s="680"/>
      <c r="C70" s="685"/>
    </row>
    <row r="71" spans="2:10" ht="23.1" customHeight="1" x14ac:dyDescent="0.15">
      <c r="B71" s="680"/>
      <c r="C71" s="685"/>
    </row>
    <row r="72" spans="2:10" ht="23.1" customHeight="1" x14ac:dyDescent="0.15">
      <c r="B72" s="680"/>
      <c r="C72" s="685"/>
    </row>
    <row r="73" spans="2:10" ht="23.1" customHeight="1" x14ac:dyDescent="0.15">
      <c r="B73" s="680"/>
      <c r="C73" s="685"/>
    </row>
    <row r="74" spans="2:10" ht="23.1" customHeight="1" x14ac:dyDescent="0.15">
      <c r="B74" s="680"/>
      <c r="C74" s="685"/>
    </row>
    <row r="75" spans="2:10" ht="23.1" customHeight="1" x14ac:dyDescent="0.15">
      <c r="B75" s="680"/>
      <c r="C75" s="685"/>
    </row>
    <row r="76" spans="2:10" ht="23.1" customHeight="1" x14ac:dyDescent="0.15">
      <c r="B76" s="680"/>
      <c r="C76" s="685"/>
    </row>
    <row r="77" spans="2:10" ht="13.5" customHeight="1" x14ac:dyDescent="0.15">
      <c r="B77" s="671"/>
    </row>
    <row r="78" spans="2:10" ht="23.1" customHeight="1" x14ac:dyDescent="0.15">
      <c r="B78" s="680" t="s">
        <v>199</v>
      </c>
      <c r="C78" s="681" t="s">
        <v>200</v>
      </c>
      <c r="D78" s="682"/>
      <c r="E78" s="683"/>
      <c r="F78" s="683"/>
    </row>
    <row r="79" spans="2:10" ht="11.25" customHeight="1" x14ac:dyDescent="0.15">
      <c r="B79" s="671"/>
    </row>
    <row r="80" spans="2:10" ht="21.95" customHeight="1" x14ac:dyDescent="0.15">
      <c r="B80" s="671"/>
      <c r="C80" s="693" t="s">
        <v>205</v>
      </c>
      <c r="D80" s="684"/>
      <c r="J80" s="693" t="s">
        <v>206</v>
      </c>
    </row>
    <row r="81" spans="1:10" ht="21.95" customHeight="1" x14ac:dyDescent="0.15">
      <c r="A81" s="694"/>
      <c r="B81" s="671"/>
      <c r="C81" s="687" t="s">
        <v>204</v>
      </c>
      <c r="J81" s="687" t="s">
        <v>307</v>
      </c>
    </row>
    <row r="82" spans="1:10" ht="21.95" customHeight="1" x14ac:dyDescent="0.15">
      <c r="B82" s="671"/>
    </row>
    <row r="83" spans="1:10" ht="21.95" customHeight="1" x14ac:dyDescent="0.15">
      <c r="B83" s="671"/>
    </row>
    <row r="84" spans="1:10" ht="21.95" customHeight="1" x14ac:dyDescent="0.15">
      <c r="B84" s="671"/>
    </row>
    <row r="85" spans="1:10" ht="21.95" customHeight="1" x14ac:dyDescent="0.15">
      <c r="B85" s="671"/>
    </row>
    <row r="86" spans="1:10" ht="16.5" customHeight="1" x14ac:dyDescent="0.15">
      <c r="B86" s="671"/>
    </row>
    <row r="87" spans="1:10" ht="21.95" customHeight="1" x14ac:dyDescent="0.15">
      <c r="B87" s="671"/>
      <c r="C87" s="693" t="s">
        <v>145</v>
      </c>
    </row>
    <row r="88" spans="1:10" ht="21.95" customHeight="1" x14ac:dyDescent="0.15">
      <c r="B88" s="671"/>
      <c r="C88" s="687" t="s">
        <v>207</v>
      </c>
    </row>
    <row r="89" spans="1:10" ht="21.95" customHeight="1" x14ac:dyDescent="0.15">
      <c r="B89" s="671"/>
      <c r="D89" s="695" t="s">
        <v>208</v>
      </c>
      <c r="E89" s="696"/>
    </row>
    <row r="90" spans="1:10" ht="21.95" customHeight="1" x14ac:dyDescent="0.15">
      <c r="B90" s="671"/>
    </row>
    <row r="91" spans="1:10" ht="21.95" customHeight="1" x14ac:dyDescent="0.15">
      <c r="B91" s="671"/>
    </row>
    <row r="92" spans="1:10" ht="21.95" customHeight="1" x14ac:dyDescent="0.15">
      <c r="B92" s="671"/>
    </row>
    <row r="93" spans="1:10" ht="21.95" customHeight="1" x14ac:dyDescent="0.15">
      <c r="B93" s="671"/>
    </row>
    <row r="94" spans="1:10" ht="21.95" customHeight="1" x14ac:dyDescent="0.15">
      <c r="B94" s="671"/>
    </row>
    <row r="95" spans="1:10" ht="21.95" customHeight="1" x14ac:dyDescent="0.15">
      <c r="B95" s="671"/>
    </row>
    <row r="96" spans="1:10" ht="21.95" customHeight="1" x14ac:dyDescent="0.15">
      <c r="B96" s="671"/>
    </row>
    <row r="97" spans="2:4" ht="21.95" customHeight="1" x14ac:dyDescent="0.15">
      <c r="B97" s="671"/>
      <c r="C97" s="693" t="s">
        <v>146</v>
      </c>
    </row>
    <row r="98" spans="2:4" ht="21.95" customHeight="1" x14ac:dyDescent="0.15">
      <c r="B98" s="671"/>
      <c r="C98" s="687" t="s">
        <v>209</v>
      </c>
    </row>
    <row r="99" spans="2:4" ht="21.95" customHeight="1" x14ac:dyDescent="0.15">
      <c r="B99" s="671"/>
    </row>
    <row r="100" spans="2:4" ht="21.95" customHeight="1" x14ac:dyDescent="0.15">
      <c r="B100" s="671"/>
    </row>
    <row r="101" spans="2:4" ht="21.95" customHeight="1" x14ac:dyDescent="0.15">
      <c r="B101" s="671"/>
    </row>
    <row r="102" spans="2:4" ht="21.95" customHeight="1" x14ac:dyDescent="0.15">
      <c r="B102" s="671"/>
    </row>
    <row r="103" spans="2:4" ht="21.95" customHeight="1" x14ac:dyDescent="0.15">
      <c r="B103" s="671"/>
      <c r="C103" s="693" t="s">
        <v>147</v>
      </c>
    </row>
    <row r="104" spans="2:4" ht="21.95" customHeight="1" x14ac:dyDescent="0.15">
      <c r="C104" s="687" t="s">
        <v>210</v>
      </c>
    </row>
    <row r="105" spans="2:4" ht="21.95" customHeight="1" x14ac:dyDescent="0.15">
      <c r="B105" s="671"/>
      <c r="D105" s="695" t="s">
        <v>211</v>
      </c>
    </row>
    <row r="106" spans="2:4" ht="21.95" customHeight="1" x14ac:dyDescent="0.15">
      <c r="B106" s="671"/>
    </row>
    <row r="107" spans="2:4" ht="21.95" customHeight="1" x14ac:dyDescent="0.15">
      <c r="B107" s="671"/>
    </row>
    <row r="108" spans="2:4" ht="21.95" customHeight="1" x14ac:dyDescent="0.15">
      <c r="B108" s="671"/>
    </row>
    <row r="109" spans="2:4" ht="21.95" customHeight="1" x14ac:dyDescent="0.15">
      <c r="B109" s="671"/>
    </row>
    <row r="110" spans="2:4" ht="21.95" customHeight="1" x14ac:dyDescent="0.15">
      <c r="B110" s="671"/>
    </row>
    <row r="111" spans="2:4" ht="21.95" customHeight="1" x14ac:dyDescent="0.15">
      <c r="B111" s="671"/>
    </row>
    <row r="112" spans="2:4" ht="21.95" customHeight="1" x14ac:dyDescent="0.15">
      <c r="B112" s="671"/>
    </row>
    <row r="113" spans="2:6" ht="21.95" customHeight="1" x14ac:dyDescent="0.15">
      <c r="B113"/>
      <c r="C113" s="697" t="s">
        <v>199</v>
      </c>
      <c r="D113" s="686" t="s">
        <v>372</v>
      </c>
      <c r="E113" s="698"/>
      <c r="F113" s="679"/>
    </row>
    <row r="114" spans="2:6" ht="12" customHeight="1" x14ac:dyDescent="0.15">
      <c r="B114"/>
    </row>
    <row r="115" spans="2:6" ht="21.95" customHeight="1" x14ac:dyDescent="0.15">
      <c r="B115"/>
      <c r="D115" s="223" t="s">
        <v>229</v>
      </c>
    </row>
    <row r="116" spans="2:6" ht="21.95" customHeight="1" x14ac:dyDescent="0.15">
      <c r="B116"/>
    </row>
    <row r="117" spans="2:6" ht="21.95" customHeight="1" x14ac:dyDescent="0.15">
      <c r="B117"/>
    </row>
    <row r="118" spans="2:6" ht="21.95" customHeight="1" x14ac:dyDescent="0.15">
      <c r="B118"/>
    </row>
    <row r="119" spans="2:6" ht="21.95" customHeight="1" x14ac:dyDescent="0.15">
      <c r="B119"/>
    </row>
    <row r="120" spans="2:6" ht="21.95" customHeight="1" x14ac:dyDescent="0.15">
      <c r="B120"/>
    </row>
    <row r="121" spans="2:6" ht="21.95" customHeight="1" x14ac:dyDescent="0.15">
      <c r="B121"/>
    </row>
    <row r="122" spans="2:6" ht="21.95" customHeight="1" x14ac:dyDescent="0.15">
      <c r="B122"/>
    </row>
    <row r="123" spans="2:6" ht="21.95" customHeight="1" x14ac:dyDescent="0.15">
      <c r="B123"/>
    </row>
    <row r="124" spans="2:6" ht="21.95" customHeight="1" x14ac:dyDescent="0.15">
      <c r="B124"/>
    </row>
    <row r="125" spans="2:6" ht="21.95" customHeight="1" x14ac:dyDescent="0.15">
      <c r="B125"/>
    </row>
    <row r="126" spans="2:6" ht="21.95" customHeight="1" x14ac:dyDescent="0.15">
      <c r="B126"/>
    </row>
    <row r="127" spans="2:6" ht="21.95" customHeight="1" x14ac:dyDescent="0.15">
      <c r="B127"/>
    </row>
    <row r="128" spans="2:6" ht="21.95" customHeight="1" x14ac:dyDescent="0.15">
      <c r="B128"/>
    </row>
    <row r="129" spans="2:6" ht="21.95" customHeight="1" x14ac:dyDescent="0.15">
      <c r="B129"/>
    </row>
    <row r="130" spans="2:6" ht="21.95" customHeight="1" x14ac:dyDescent="0.15">
      <c r="B130"/>
    </row>
    <row r="131" spans="2:6" ht="21.95" customHeight="1" x14ac:dyDescent="0.15">
      <c r="B131"/>
    </row>
    <row r="132" spans="2:6" ht="21.95" customHeight="1" x14ac:dyDescent="0.15">
      <c r="B132"/>
    </row>
    <row r="133" spans="2:6" ht="21.95" customHeight="1" x14ac:dyDescent="0.15">
      <c r="B133"/>
    </row>
    <row r="134" spans="2:6" ht="21.95" customHeight="1" x14ac:dyDescent="0.15">
      <c r="B134"/>
    </row>
    <row r="135" spans="2:6" ht="21.95" customHeight="1" x14ac:dyDescent="0.15">
      <c r="B135" s="671"/>
    </row>
    <row r="136" spans="2:6" ht="11.25" customHeight="1" x14ac:dyDescent="0.15">
      <c r="B136" s="671"/>
    </row>
    <row r="137" spans="2:6" ht="21.95" customHeight="1" x14ac:dyDescent="0.15">
      <c r="B137" s="697" t="s">
        <v>199</v>
      </c>
      <c r="C137" s="699" t="s">
        <v>371</v>
      </c>
      <c r="D137" s="700"/>
      <c r="E137" s="700"/>
      <c r="F137" s="700"/>
    </row>
    <row r="138" spans="2:6" ht="10.5" customHeight="1" x14ac:dyDescent="0.15">
      <c r="B138" s="671"/>
      <c r="C138" s="701"/>
    </row>
    <row r="139" spans="2:6" ht="21.95" customHeight="1" x14ac:dyDescent="0.15">
      <c r="B139" s="671"/>
      <c r="C139" s="147" t="s">
        <v>212</v>
      </c>
    </row>
    <row r="140" spans="2:6" ht="21.95" customHeight="1" x14ac:dyDescent="0.15">
      <c r="B140" s="671"/>
    </row>
    <row r="141" spans="2:6" ht="21.95" customHeight="1" x14ac:dyDescent="0.15">
      <c r="B141" s="671"/>
    </row>
    <row r="142" spans="2:6" ht="21.95" customHeight="1" x14ac:dyDescent="0.15">
      <c r="B142" s="671"/>
    </row>
    <row r="143" spans="2:6" ht="21.95" customHeight="1" x14ac:dyDescent="0.15">
      <c r="B143" s="671"/>
    </row>
    <row r="144" spans="2:6" ht="21.95" customHeight="1" x14ac:dyDescent="0.15">
      <c r="B144" s="671"/>
    </row>
    <row r="145" spans="2:7" ht="21.95" customHeight="1" x14ac:dyDescent="0.15">
      <c r="B145" s="671"/>
    </row>
    <row r="146" spans="2:7" ht="21.95" customHeight="1" x14ac:dyDescent="0.15">
      <c r="B146" s="671"/>
    </row>
    <row r="147" spans="2:7" ht="21.95" customHeight="1" x14ac:dyDescent="0.15">
      <c r="B147" s="671"/>
    </row>
    <row r="148" spans="2:7" ht="21.95" customHeight="1" x14ac:dyDescent="0.15">
      <c r="B148" s="671"/>
    </row>
    <row r="149" spans="2:7" ht="21.95" customHeight="1" x14ac:dyDescent="0.15">
      <c r="B149" s="671"/>
    </row>
    <row r="150" spans="2:7" ht="21.95" customHeight="1" x14ac:dyDescent="0.15">
      <c r="B150" s="671"/>
    </row>
    <row r="151" spans="2:7" ht="21.95" customHeight="1" x14ac:dyDescent="0.15">
      <c r="B151" s="671"/>
    </row>
    <row r="152" spans="2:7" ht="21.95" customHeight="1" x14ac:dyDescent="0.15">
      <c r="B152" s="671"/>
    </row>
    <row r="153" spans="2:7" ht="21.95" customHeight="1" x14ac:dyDescent="0.15">
      <c r="B153" s="671"/>
    </row>
    <row r="154" spans="2:7" ht="21.95" customHeight="1" x14ac:dyDescent="0.15">
      <c r="B154" s="671"/>
    </row>
    <row r="155" spans="2:7" ht="21.95" customHeight="1" x14ac:dyDescent="0.15">
      <c r="B155" s="697" t="s">
        <v>199</v>
      </c>
      <c r="C155" s="699" t="s">
        <v>373</v>
      </c>
      <c r="D155" s="700"/>
      <c r="E155" s="700"/>
      <c r="F155" s="700"/>
      <c r="G155" s="700"/>
    </row>
    <row r="156" spans="2:7" ht="21.95" customHeight="1" x14ac:dyDescent="0.15">
      <c r="B156" s="671"/>
      <c r="C156" s="147" t="s">
        <v>213</v>
      </c>
    </row>
    <row r="157" spans="2:7" ht="21.95" customHeight="1" x14ac:dyDescent="0.15">
      <c r="B157" s="671"/>
      <c r="D157" s="147" t="s">
        <v>214</v>
      </c>
    </row>
    <row r="158" spans="2:7" ht="21.95" customHeight="1" x14ac:dyDescent="0.15">
      <c r="B158" s="671"/>
      <c r="D158" s="147" t="s">
        <v>215</v>
      </c>
    </row>
    <row r="159" spans="2:7" ht="21.95" customHeight="1" x14ac:dyDescent="0.15">
      <c r="B159" s="671"/>
    </row>
    <row r="160" spans="2:7" ht="21.95" customHeight="1" x14ac:dyDescent="0.15">
      <c r="B160" s="671"/>
    </row>
    <row r="161" spans="2:22" ht="21.95" customHeight="1" x14ac:dyDescent="0.15">
      <c r="B161" s="671"/>
    </row>
    <row r="162" spans="2:22" ht="21.95" customHeight="1" x14ac:dyDescent="0.15">
      <c r="B162" s="671"/>
    </row>
    <row r="163" spans="2:22" ht="21.95" customHeight="1" x14ac:dyDescent="0.15">
      <c r="B163" s="671"/>
    </row>
    <row r="164" spans="2:22" ht="21.95" customHeight="1" x14ac:dyDescent="0.15">
      <c r="B164" s="671"/>
    </row>
    <row r="165" spans="2:22" ht="21.95" customHeight="1" x14ac:dyDescent="0.15">
      <c r="B165" s="671"/>
    </row>
    <row r="166" spans="2:22" ht="21.95" customHeight="1" x14ac:dyDescent="0.15">
      <c r="B166" s="671"/>
    </row>
    <row r="167" spans="2:22" ht="21.95" customHeight="1" x14ac:dyDescent="0.15">
      <c r="B167" s="671"/>
    </row>
    <row r="168" spans="2:22" ht="21.95" customHeight="1" x14ac:dyDescent="0.15">
      <c r="B168" s="671"/>
    </row>
    <row r="169" spans="2:22" ht="21.95" customHeight="1" x14ac:dyDescent="0.15">
      <c r="B169" s="671"/>
    </row>
    <row r="170" spans="2:22" ht="21.95" customHeight="1" x14ac:dyDescent="0.15">
      <c r="B170" s="671"/>
    </row>
    <row r="171" spans="2:22" ht="21.95" customHeight="1" x14ac:dyDescent="0.15">
      <c r="B171" s="671"/>
    </row>
    <row r="172" spans="2:22" ht="21.95" customHeight="1" x14ac:dyDescent="0.15">
      <c r="B172" s="671"/>
    </row>
    <row r="173" spans="2:22" ht="21.95" customHeight="1" x14ac:dyDescent="0.15">
      <c r="B173" s="671"/>
      <c r="V173" s="501"/>
    </row>
    <row r="174" spans="2:22" ht="21.95" customHeight="1" x14ac:dyDescent="0.15">
      <c r="B174" s="671"/>
      <c r="V174" s="501"/>
    </row>
    <row r="175" spans="2:22" ht="21.95" customHeight="1" x14ac:dyDescent="0.15">
      <c r="B175" s="671"/>
    </row>
    <row r="176" spans="2:22" ht="21.95" customHeight="1" x14ac:dyDescent="0.15">
      <c r="B176" s="671"/>
    </row>
    <row r="177" spans="2:9" ht="21.95" customHeight="1" x14ac:dyDescent="0.15">
      <c r="B177" s="671"/>
    </row>
    <row r="178" spans="2:9" ht="21.95" customHeight="1" x14ac:dyDescent="0.15">
      <c r="B178" s="671"/>
    </row>
    <row r="179" spans="2:9" ht="21.95" customHeight="1" x14ac:dyDescent="0.15">
      <c r="B179" s="671"/>
    </row>
    <row r="180" spans="2:9" ht="21.95" customHeight="1" x14ac:dyDescent="0.15">
      <c r="B180" s="671"/>
    </row>
    <row r="181" spans="2:9" ht="21.95" customHeight="1" x14ac:dyDescent="0.15">
      <c r="B181" s="671"/>
    </row>
    <row r="182" spans="2:9" ht="21" customHeight="1" x14ac:dyDescent="0.15">
      <c r="B182" s="671"/>
    </row>
    <row r="183" spans="2:9" ht="21" customHeight="1" x14ac:dyDescent="0.15">
      <c r="B183" s="697" t="s">
        <v>199</v>
      </c>
      <c r="C183" s="702" t="s">
        <v>378</v>
      </c>
      <c r="D183" s="703"/>
      <c r="E183" s="703"/>
      <c r="F183" s="703"/>
    </row>
    <row r="184" spans="2:9" ht="21" customHeight="1" x14ac:dyDescent="0.15">
      <c r="B184" s="671"/>
    </row>
    <row r="185" spans="2:9" ht="21" customHeight="1" x14ac:dyDescent="0.15">
      <c r="B185" s="697" t="s">
        <v>199</v>
      </c>
      <c r="C185" s="702" t="s">
        <v>375</v>
      </c>
      <c r="D185" s="703"/>
      <c r="E185" s="703"/>
    </row>
    <row r="186" spans="2:9" ht="21" customHeight="1" x14ac:dyDescent="0.15"/>
    <row r="187" spans="2:9" ht="21" customHeight="1" x14ac:dyDescent="0.15">
      <c r="B187" s="697" t="s">
        <v>199</v>
      </c>
      <c r="C187" s="702" t="s">
        <v>376</v>
      </c>
      <c r="D187" s="703"/>
      <c r="E187" s="703"/>
      <c r="F187" s="703"/>
    </row>
    <row r="188" spans="2:9" ht="21" customHeight="1" x14ac:dyDescent="0.15"/>
    <row r="189" spans="2:9" ht="21" customHeight="1" x14ac:dyDescent="0.15">
      <c r="B189" s="697" t="s">
        <v>199</v>
      </c>
      <c r="C189" s="699" t="s">
        <v>377</v>
      </c>
      <c r="D189" s="704"/>
      <c r="E189" s="704"/>
      <c r="F189" t="s">
        <v>391</v>
      </c>
    </row>
    <row r="190" spans="2:9" ht="21" customHeight="1" x14ac:dyDescent="0.15">
      <c r="B190" s="671"/>
    </row>
    <row r="192" spans="2:9" ht="22.5" customHeight="1" x14ac:dyDescent="0.15">
      <c r="D192" s="705" t="s">
        <v>287</v>
      </c>
      <c r="E192" s="706"/>
      <c r="F192" s="706"/>
      <c r="G192" s="706"/>
      <c r="H192" s="706"/>
      <c r="I192" s="706"/>
    </row>
  </sheetData>
  <sheetProtection sheet="1" objects="1" scenarios="1"/>
  <mergeCells count="1">
    <mergeCell ref="C5:D5"/>
  </mergeCells>
  <phoneticPr fontId="3"/>
  <printOptions horizontalCentered="1"/>
  <pageMargins left="0.51181102362204722" right="0.51181102362204722" top="0.74803149606299213" bottom="0.55118110236220474" header="0.31496062992125984" footer="0.31496062992125984"/>
  <pageSetup paperSize="9" scale="54" orientation="landscape" verticalDpi="0" r:id="rId1"/>
  <headerFooter>
    <oddFooter>&amp;C&amp;P</oddFooter>
  </headerFooter>
  <rowBreaks count="5" manualBreakCount="5">
    <brk id="32" min="1" max="29" man="1"/>
    <brk id="76" min="1" max="29" man="1"/>
    <brk id="112" min="1" max="29" man="1"/>
    <brk id="153" min="1" max="29" man="1"/>
    <brk id="193" min="1" max="29"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0"/>
    <pageSetUpPr autoPageBreaks="0"/>
  </sheetPr>
  <dimension ref="B2:J41"/>
  <sheetViews>
    <sheetView showGridLines="0" zoomScaleNormal="100" workbookViewId="0"/>
  </sheetViews>
  <sheetFormatPr defaultRowHeight="13.5" x14ac:dyDescent="0.15"/>
  <cols>
    <col min="1" max="1" width="3.875" customWidth="1"/>
    <col min="2" max="2" width="2.875" customWidth="1"/>
    <col min="3" max="9" width="9.375" customWidth="1"/>
    <col min="10" max="10" width="17.875" customWidth="1"/>
  </cols>
  <sheetData>
    <row r="2" spans="2:10" ht="25.5" customHeight="1" thickBot="1" x14ac:dyDescent="0.2"/>
    <row r="3" spans="2:10" ht="14.25" x14ac:dyDescent="0.15">
      <c r="B3" s="747"/>
      <c r="C3" s="748"/>
      <c r="D3" s="748"/>
      <c r="E3" s="748"/>
      <c r="F3" s="748"/>
      <c r="G3" s="748"/>
      <c r="H3" s="748"/>
      <c r="I3" s="748"/>
      <c r="J3" s="749"/>
    </row>
    <row r="4" spans="2:10" ht="14.25" x14ac:dyDescent="0.15">
      <c r="B4" s="750"/>
      <c r="C4" s="751" t="s">
        <v>36</v>
      </c>
      <c r="D4" s="752"/>
      <c r="E4" s="752"/>
      <c r="F4" s="752"/>
      <c r="G4" s="752"/>
      <c r="H4" s="752"/>
      <c r="I4" s="752"/>
      <c r="J4" s="753"/>
    </row>
    <row r="5" spans="2:10" ht="14.25" x14ac:dyDescent="0.15">
      <c r="B5" s="750"/>
      <c r="C5" s="752"/>
      <c r="D5" s="752"/>
      <c r="E5" s="752"/>
      <c r="F5" s="752"/>
      <c r="G5" s="752"/>
      <c r="H5" s="752"/>
      <c r="I5" s="752"/>
      <c r="J5" s="753"/>
    </row>
    <row r="6" spans="2:10" ht="14.25" x14ac:dyDescent="0.15">
      <c r="B6" s="750"/>
      <c r="C6" s="751" t="s">
        <v>37</v>
      </c>
      <c r="D6" s="752"/>
      <c r="E6" s="752"/>
      <c r="F6" s="752"/>
      <c r="G6" s="752"/>
      <c r="H6" s="752"/>
      <c r="I6" s="752"/>
      <c r="J6" s="753"/>
    </row>
    <row r="7" spans="2:10" ht="14.25" x14ac:dyDescent="0.15">
      <c r="B7" s="750"/>
      <c r="C7" s="752" t="s">
        <v>38</v>
      </c>
      <c r="D7" s="752"/>
      <c r="E7" s="752"/>
      <c r="F7" s="752"/>
      <c r="G7" s="752"/>
      <c r="H7" s="752"/>
      <c r="I7" s="752"/>
      <c r="J7" s="753"/>
    </row>
    <row r="8" spans="2:10" ht="14.25" x14ac:dyDescent="0.15">
      <c r="B8" s="750"/>
      <c r="C8" s="752" t="s">
        <v>39</v>
      </c>
      <c r="D8" s="752"/>
      <c r="E8" s="752"/>
      <c r="F8" s="752"/>
      <c r="G8" s="752"/>
      <c r="H8" s="752"/>
      <c r="I8" s="752"/>
      <c r="J8" s="753"/>
    </row>
    <row r="9" spans="2:10" ht="14.25" x14ac:dyDescent="0.15">
      <c r="B9" s="750"/>
      <c r="C9" s="752" t="s">
        <v>40</v>
      </c>
      <c r="D9" s="752"/>
      <c r="E9" s="752"/>
      <c r="F9" s="752"/>
      <c r="G9" s="752"/>
      <c r="H9" s="752"/>
      <c r="I9" s="752"/>
      <c r="J9" s="753"/>
    </row>
    <row r="10" spans="2:10" ht="14.25" x14ac:dyDescent="0.15">
      <c r="B10" s="750"/>
      <c r="C10" s="752"/>
      <c r="D10" s="752"/>
      <c r="E10" s="752"/>
      <c r="F10" s="752"/>
      <c r="G10" s="752"/>
      <c r="H10" s="752"/>
      <c r="I10" s="752"/>
      <c r="J10" s="753"/>
    </row>
    <row r="11" spans="2:10" ht="14.25" x14ac:dyDescent="0.15">
      <c r="B11" s="750"/>
      <c r="C11" s="751" t="s">
        <v>195</v>
      </c>
      <c r="D11" s="752"/>
      <c r="E11" s="752"/>
      <c r="F11" s="752"/>
      <c r="G11" s="752"/>
      <c r="H11" s="752"/>
      <c r="I11" s="752"/>
      <c r="J11" s="753"/>
    </row>
    <row r="12" spans="2:10" ht="14.25" x14ac:dyDescent="0.15">
      <c r="B12" s="750"/>
      <c r="C12" s="752" t="s">
        <v>196</v>
      </c>
      <c r="D12" s="752"/>
      <c r="E12" s="752"/>
      <c r="F12" s="752"/>
      <c r="G12" s="752"/>
      <c r="H12" s="752"/>
      <c r="I12" s="752"/>
      <c r="J12" s="753"/>
    </row>
    <row r="13" spans="2:10" ht="14.25" x14ac:dyDescent="0.15">
      <c r="B13" s="750"/>
      <c r="C13" s="752" t="s">
        <v>197</v>
      </c>
      <c r="D13" s="752"/>
      <c r="E13" s="752"/>
      <c r="F13" s="752"/>
      <c r="G13" s="752"/>
      <c r="H13" s="752"/>
      <c r="I13" s="752"/>
      <c r="J13" s="753"/>
    </row>
    <row r="14" spans="2:10" ht="14.25" x14ac:dyDescent="0.15">
      <c r="B14" s="750"/>
      <c r="C14" s="752"/>
      <c r="D14" s="752"/>
      <c r="E14" s="752"/>
      <c r="F14" s="752"/>
      <c r="G14" s="752"/>
      <c r="H14" s="752"/>
      <c r="I14" s="752"/>
      <c r="J14" s="753"/>
    </row>
    <row r="15" spans="2:10" ht="14.25" x14ac:dyDescent="0.15">
      <c r="B15" s="750"/>
      <c r="C15" s="751" t="s">
        <v>41</v>
      </c>
      <c r="D15" s="752"/>
      <c r="E15" s="752"/>
      <c r="F15" s="752"/>
      <c r="G15" s="752"/>
      <c r="H15" s="752"/>
      <c r="I15" s="752"/>
      <c r="J15" s="753"/>
    </row>
    <row r="16" spans="2:10" ht="14.25" x14ac:dyDescent="0.15">
      <c r="B16" s="750"/>
      <c r="C16" s="752" t="s">
        <v>42</v>
      </c>
      <c r="D16" s="752"/>
      <c r="E16" s="752"/>
      <c r="F16" s="752"/>
      <c r="G16" s="752"/>
      <c r="H16" s="752"/>
      <c r="I16" s="752"/>
      <c r="J16" s="753"/>
    </row>
    <row r="17" spans="2:10" ht="14.25" x14ac:dyDescent="0.15">
      <c r="B17" s="750"/>
      <c r="C17" s="752" t="s">
        <v>194</v>
      </c>
      <c r="D17" s="752"/>
      <c r="E17" s="752"/>
      <c r="F17" s="752"/>
      <c r="G17" s="752"/>
      <c r="H17" s="752"/>
      <c r="I17" s="752"/>
      <c r="J17" s="753"/>
    </row>
    <row r="18" spans="2:10" ht="14.25" x14ac:dyDescent="0.15">
      <c r="B18" s="750"/>
      <c r="C18" s="752"/>
      <c r="D18" s="752"/>
      <c r="E18" s="752"/>
      <c r="F18" s="752"/>
      <c r="G18" s="752"/>
      <c r="H18" s="752"/>
      <c r="I18" s="752"/>
      <c r="J18" s="753"/>
    </row>
    <row r="19" spans="2:10" ht="14.25" x14ac:dyDescent="0.15">
      <c r="B19" s="750"/>
      <c r="C19" s="751" t="s">
        <v>388</v>
      </c>
      <c r="D19" s="752"/>
      <c r="E19" s="752"/>
      <c r="F19" s="752"/>
      <c r="G19" s="752"/>
      <c r="H19" s="752"/>
      <c r="I19" s="752"/>
      <c r="J19" s="753"/>
    </row>
    <row r="20" spans="2:10" ht="14.25" x14ac:dyDescent="0.15">
      <c r="B20" s="750"/>
      <c r="C20" s="752" t="s">
        <v>389</v>
      </c>
      <c r="D20" s="752"/>
      <c r="E20" s="752"/>
      <c r="F20" s="752"/>
      <c r="G20" s="752"/>
      <c r="H20" s="752"/>
      <c r="I20" s="752"/>
      <c r="J20" s="753"/>
    </row>
    <row r="21" spans="2:10" ht="14.25" x14ac:dyDescent="0.15">
      <c r="B21" s="750"/>
      <c r="C21" s="752" t="s">
        <v>390</v>
      </c>
      <c r="D21" s="752"/>
      <c r="E21" s="752"/>
      <c r="F21" s="752"/>
      <c r="G21" s="752"/>
      <c r="H21" s="752"/>
      <c r="I21" s="752"/>
      <c r="J21" s="753"/>
    </row>
    <row r="22" spans="2:10" ht="14.25" x14ac:dyDescent="0.15">
      <c r="B22" s="750"/>
      <c r="C22" s="752"/>
      <c r="D22" s="752"/>
      <c r="E22" s="752"/>
      <c r="F22" s="752"/>
      <c r="G22" s="752"/>
      <c r="H22" s="752"/>
      <c r="I22" s="752"/>
      <c r="J22" s="753"/>
    </row>
    <row r="23" spans="2:10" ht="14.25" x14ac:dyDescent="0.15">
      <c r="B23" s="750"/>
      <c r="C23" s="752"/>
      <c r="D23" s="752" t="s">
        <v>43</v>
      </c>
      <c r="E23" s="752"/>
      <c r="F23" s="752"/>
      <c r="G23" s="752"/>
      <c r="H23" s="752"/>
      <c r="I23" s="752"/>
      <c r="J23" s="753"/>
    </row>
    <row r="24" spans="2:10" ht="14.25" x14ac:dyDescent="0.15">
      <c r="B24" s="750"/>
      <c r="C24" s="752"/>
      <c r="D24" s="752" t="s">
        <v>44</v>
      </c>
      <c r="E24" s="752"/>
      <c r="F24" s="752"/>
      <c r="G24" s="957">
        <v>45297</v>
      </c>
      <c r="H24" s="957"/>
      <c r="I24" s="752"/>
      <c r="J24" s="753"/>
    </row>
    <row r="25" spans="2:10" ht="15" thickBot="1" x14ac:dyDescent="0.2">
      <c r="B25" s="754"/>
      <c r="C25" s="755"/>
      <c r="D25" s="755"/>
      <c r="E25" s="755"/>
      <c r="F25" s="755"/>
      <c r="G25" s="755"/>
      <c r="H25" s="755"/>
      <c r="I25" s="755"/>
      <c r="J25" s="756"/>
    </row>
    <row r="26" spans="2:10" x14ac:dyDescent="0.15">
      <c r="C26" s="757"/>
      <c r="D26" s="757"/>
      <c r="E26" s="757"/>
      <c r="F26" s="757"/>
      <c r="G26" s="758"/>
      <c r="H26" s="757"/>
      <c r="I26" s="757"/>
    </row>
    <row r="27" spans="2:10" x14ac:dyDescent="0.15">
      <c r="C27" s="757"/>
      <c r="D27" s="757"/>
      <c r="E27" s="757"/>
      <c r="F27" s="757"/>
      <c r="G27" s="757"/>
      <c r="H27" s="757"/>
      <c r="I27" s="757"/>
    </row>
    <row r="28" spans="2:10" x14ac:dyDescent="0.15">
      <c r="C28" s="757"/>
      <c r="D28" s="758"/>
      <c r="E28" s="757"/>
      <c r="F28" s="757"/>
      <c r="G28" s="757"/>
      <c r="H28" s="757"/>
    </row>
    <row r="29" spans="2:10" x14ac:dyDescent="0.15">
      <c r="C29" s="757"/>
      <c r="D29" s="757"/>
      <c r="E29" s="757"/>
      <c r="F29" s="757"/>
      <c r="G29" s="757"/>
      <c r="H29" s="757"/>
    </row>
    <row r="30" spans="2:10" x14ac:dyDescent="0.15">
      <c r="C30" s="757"/>
      <c r="D30" s="757"/>
      <c r="E30" s="757"/>
      <c r="F30" s="757"/>
      <c r="G30" s="757"/>
      <c r="H30" s="757"/>
    </row>
    <row r="41" spans="3:3" x14ac:dyDescent="0.15">
      <c r="C41" s="759"/>
    </row>
  </sheetData>
  <sheetProtection sheet="1" objects="1" scenarios="1"/>
  <mergeCells count="1">
    <mergeCell ref="G24:H2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0238-231D-4B43-A66D-004C6673DA22}">
  <sheetPr>
    <tabColor rgb="FFFF33CC"/>
  </sheetPr>
  <dimension ref="A1:AM113"/>
  <sheetViews>
    <sheetView showGridLines="0" zoomScaleNormal="100" workbookViewId="0">
      <pane xSplit="3" ySplit="9" topLeftCell="D10" activePane="bottomRight" state="frozen"/>
      <selection pane="topRight" activeCell="D1" sqref="D1"/>
      <selection pane="bottomLeft" activeCell="A8" sqref="A8"/>
      <selection pane="bottomRight" activeCell="E2" sqref="E2"/>
    </sheetView>
  </sheetViews>
  <sheetFormatPr defaultRowHeight="14.25" x14ac:dyDescent="0.15"/>
  <cols>
    <col min="1" max="1" width="5.125" style="178" customWidth="1"/>
    <col min="2" max="2" width="4.75" style="178" customWidth="1"/>
    <col min="3" max="3" width="12.625" style="188" customWidth="1"/>
    <col min="4" max="5" width="13.25" style="179" customWidth="1"/>
    <col min="6" max="6" width="14.125" style="179" customWidth="1"/>
    <col min="7" max="8" width="13.25" style="179" customWidth="1"/>
    <col min="9" max="12" width="4.75" style="179" customWidth="1"/>
    <col min="13" max="13" width="10.75" style="180" customWidth="1"/>
    <col min="14" max="15" width="10.75" style="178" customWidth="1"/>
    <col min="16" max="16" width="10.625" style="178" customWidth="1"/>
    <col min="17" max="19" width="10.625" style="190" customWidth="1"/>
    <col min="20" max="20" width="12.25" style="191" customWidth="1"/>
    <col min="21" max="21" width="14.875" style="191" customWidth="1"/>
    <col min="22" max="22" width="12.625" style="191" customWidth="1"/>
    <col min="23" max="24" width="12.625" style="180" customWidth="1"/>
    <col min="25" max="25" width="17.875" style="180" customWidth="1"/>
    <col min="26" max="31" width="12.625" style="180" customWidth="1"/>
    <col min="32" max="33" width="11.625" style="180" customWidth="1"/>
    <col min="34" max="35" width="17.625" style="191" customWidth="1"/>
    <col min="36" max="36" width="14.875" style="191" customWidth="1"/>
    <col min="37" max="38" width="14.125" style="180" customWidth="1"/>
    <col min="39" max="39" width="14.25" style="179" customWidth="1"/>
    <col min="40" max="16384" width="9" style="179"/>
  </cols>
  <sheetData>
    <row r="1" spans="1:39" s="242" customFormat="1" ht="19.5" customHeight="1" thickBot="1" x14ac:dyDescent="0.2">
      <c r="A1" s="241"/>
      <c r="B1" s="241"/>
      <c r="C1" s="241">
        <v>1</v>
      </c>
      <c r="D1" s="241">
        <v>2</v>
      </c>
      <c r="E1" s="241">
        <v>3</v>
      </c>
      <c r="F1" s="241">
        <v>4</v>
      </c>
      <c r="G1" s="241">
        <v>5</v>
      </c>
      <c r="H1" s="241">
        <v>6</v>
      </c>
      <c r="I1" s="241">
        <v>7</v>
      </c>
      <c r="J1" s="241">
        <v>8</v>
      </c>
      <c r="K1" s="241">
        <v>9</v>
      </c>
      <c r="L1" s="241">
        <v>10</v>
      </c>
      <c r="M1" s="241">
        <v>11</v>
      </c>
      <c r="N1" s="241">
        <v>12</v>
      </c>
      <c r="O1" s="241">
        <v>13</v>
      </c>
      <c r="P1" s="241">
        <v>14</v>
      </c>
      <c r="Q1" s="241">
        <v>15</v>
      </c>
      <c r="R1" s="241">
        <v>16</v>
      </c>
      <c r="S1" s="241">
        <v>17</v>
      </c>
      <c r="T1" s="241">
        <v>18</v>
      </c>
      <c r="U1" s="241">
        <v>19</v>
      </c>
      <c r="V1" s="241">
        <v>20</v>
      </c>
      <c r="W1" s="241">
        <v>21</v>
      </c>
      <c r="X1" s="241">
        <v>22</v>
      </c>
      <c r="Y1" s="241">
        <v>23</v>
      </c>
      <c r="Z1" s="241">
        <v>24</v>
      </c>
      <c r="AA1" s="241">
        <v>25</v>
      </c>
      <c r="AB1" s="241">
        <v>26</v>
      </c>
      <c r="AC1" s="241">
        <v>27</v>
      </c>
      <c r="AD1" s="241">
        <v>28</v>
      </c>
      <c r="AE1" s="241">
        <v>29</v>
      </c>
      <c r="AF1" s="241">
        <v>30</v>
      </c>
      <c r="AG1" s="241">
        <v>31</v>
      </c>
      <c r="AH1" s="241">
        <v>32</v>
      </c>
      <c r="AI1" s="241">
        <v>33</v>
      </c>
      <c r="AJ1" s="241">
        <v>34</v>
      </c>
      <c r="AK1" s="241">
        <v>35</v>
      </c>
      <c r="AL1" s="241">
        <v>36</v>
      </c>
      <c r="AM1" s="241"/>
    </row>
    <row r="2" spans="1:39" s="246" customFormat="1" ht="27" customHeight="1" x14ac:dyDescent="0.15">
      <c r="A2" s="243" t="s">
        <v>170</v>
      </c>
      <c r="B2" s="244"/>
      <c r="C2" s="245"/>
      <c r="F2" s="247"/>
      <c r="G2" s="248"/>
      <c r="H2" s="247"/>
      <c r="I2" s="249"/>
      <c r="L2" s="250"/>
      <c r="M2" s="559"/>
      <c r="N2" s="775">
        <v>2</v>
      </c>
      <c r="O2" s="251"/>
      <c r="P2" s="251"/>
      <c r="Q2" s="252"/>
      <c r="R2" s="252"/>
      <c r="S2" s="252"/>
      <c r="T2" s="253"/>
      <c r="U2" s="253"/>
      <c r="V2" s="254"/>
      <c r="W2" s="255"/>
      <c r="X2" s="255"/>
      <c r="Y2" s="255"/>
      <c r="Z2" s="255"/>
      <c r="AA2" s="255"/>
      <c r="AB2" s="255"/>
      <c r="AC2" s="255"/>
      <c r="AD2" s="255"/>
      <c r="AE2" s="255"/>
      <c r="AF2" s="255"/>
      <c r="AG2" s="255"/>
      <c r="AH2" s="253"/>
      <c r="AI2" s="253"/>
      <c r="AJ2" s="253"/>
      <c r="AK2" s="255"/>
      <c r="AL2" s="255"/>
    </row>
    <row r="3" spans="1:39" s="246" customFormat="1" ht="16.5" customHeight="1" thickBot="1" x14ac:dyDescent="0.25">
      <c r="A3" s="244"/>
      <c r="B3" s="244"/>
      <c r="C3" s="245"/>
      <c r="D3" s="256" t="s">
        <v>70</v>
      </c>
      <c r="E3" s="257"/>
      <c r="F3" s="251"/>
      <c r="G3" s="251"/>
      <c r="H3" s="251"/>
      <c r="I3" s="780" t="s">
        <v>71</v>
      </c>
      <c r="J3" s="780"/>
      <c r="K3" s="780"/>
      <c r="L3" s="250"/>
      <c r="M3" s="265"/>
      <c r="N3" s="776"/>
      <c r="O3" s="465"/>
      <c r="P3" s="465"/>
      <c r="Q3" s="465"/>
      <c r="R3" s="465"/>
      <c r="S3" s="465"/>
      <c r="T3" s="465"/>
      <c r="U3" s="258"/>
      <c r="W3" s="260"/>
      <c r="X3" s="260"/>
      <c r="Y3" s="260"/>
      <c r="Z3" s="260"/>
      <c r="AA3" s="260"/>
      <c r="AB3" s="259" t="s">
        <v>28</v>
      </c>
      <c r="AC3" s="260"/>
      <c r="AD3" s="260"/>
      <c r="AE3" s="260"/>
      <c r="AF3" s="260"/>
      <c r="AG3" s="260"/>
      <c r="AH3" s="254"/>
      <c r="AI3" s="254"/>
      <c r="AJ3" s="254"/>
      <c r="AK3" s="260"/>
      <c r="AL3" s="260"/>
    </row>
    <row r="4" spans="1:39" s="246" customFormat="1" ht="16.5" customHeight="1" x14ac:dyDescent="0.2">
      <c r="A4" s="244"/>
      <c r="B4" s="244"/>
      <c r="C4" s="245"/>
      <c r="D4" s="181">
        <f ca="1">NOW()</f>
        <v>45300.44167083333</v>
      </c>
      <c r="F4" s="247"/>
      <c r="G4" s="247"/>
      <c r="H4" s="247"/>
      <c r="I4" s="781">
        <v>45017</v>
      </c>
      <c r="J4" s="782"/>
      <c r="K4" s="783"/>
      <c r="L4" s="250"/>
      <c r="M4" s="265"/>
      <c r="N4" s="547"/>
      <c r="O4" s="266"/>
      <c r="P4" s="266"/>
      <c r="Q4" s="266"/>
      <c r="R4" s="266"/>
      <c r="S4" s="266"/>
      <c r="T4" s="266"/>
      <c r="U4" s="261"/>
      <c r="V4" s="254"/>
      <c r="W4" s="259" t="s">
        <v>28</v>
      </c>
      <c r="X4" s="262"/>
      <c r="Y4" s="262"/>
      <c r="Z4" s="262"/>
      <c r="AA4" s="262"/>
      <c r="AB4" s="260"/>
      <c r="AC4" s="262"/>
      <c r="AD4" s="262"/>
      <c r="AE4" s="262"/>
      <c r="AF4" s="262"/>
      <c r="AG4" s="262"/>
      <c r="AH4" s="254"/>
      <c r="AI4" s="254"/>
      <c r="AJ4" s="263"/>
      <c r="AK4" s="262"/>
      <c r="AL4" s="262"/>
    </row>
    <row r="5" spans="1:39" s="246" customFormat="1" ht="16.5" customHeight="1" x14ac:dyDescent="0.15">
      <c r="A5" s="244"/>
      <c r="B5" s="244"/>
      <c r="C5" s="245"/>
      <c r="D5" s="264"/>
      <c r="E5" s="264"/>
      <c r="F5" s="247"/>
      <c r="G5" s="247"/>
      <c r="H5" s="247"/>
      <c r="I5" s="229"/>
      <c r="J5" s="229"/>
      <c r="K5" s="229"/>
      <c r="L5" s="250"/>
      <c r="M5" s="265"/>
      <c r="N5" s="266"/>
      <c r="O5" s="266"/>
      <c r="P5" s="266"/>
      <c r="Q5" s="266"/>
      <c r="R5" s="266"/>
      <c r="S5" s="266"/>
      <c r="T5" s="266"/>
      <c r="U5" s="261"/>
      <c r="V5" s="267" t="s">
        <v>175</v>
      </c>
      <c r="X5" s="262"/>
      <c r="Y5" s="262"/>
      <c r="Z5" s="262"/>
      <c r="AA5" s="262"/>
      <c r="AB5" s="262"/>
      <c r="AC5" s="262"/>
      <c r="AD5" s="268" t="s">
        <v>284</v>
      </c>
      <c r="AE5" s="260"/>
      <c r="AF5" s="262"/>
      <c r="AG5" s="262"/>
      <c r="AH5" s="254"/>
      <c r="AI5" s="254"/>
      <c r="AJ5" s="263"/>
      <c r="AK5" s="262"/>
      <c r="AL5" s="262"/>
    </row>
    <row r="6" spans="1:39" s="246" customFormat="1" ht="16.5" customHeight="1" x14ac:dyDescent="0.15">
      <c r="A6" s="244"/>
      <c r="B6" s="244"/>
      <c r="C6" s="245"/>
      <c r="D6" s="264"/>
      <c r="E6" s="264"/>
      <c r="F6" s="247"/>
      <c r="G6" s="247"/>
      <c r="H6" s="247"/>
      <c r="I6" s="229"/>
      <c r="J6" s="229"/>
      <c r="K6" s="229"/>
      <c r="L6" s="250"/>
      <c r="M6" s="265"/>
      <c r="N6" s="266"/>
      <c r="O6" s="266"/>
      <c r="P6" s="266"/>
      <c r="Q6" s="266"/>
      <c r="R6" s="266"/>
      <c r="S6" s="266"/>
      <c r="T6" s="266"/>
      <c r="U6" s="261"/>
      <c r="V6" s="269" t="s">
        <v>274</v>
      </c>
      <c r="W6" s="270"/>
      <c r="X6" s="262"/>
      <c r="Y6" s="260"/>
      <c r="Z6" s="271" t="s">
        <v>271</v>
      </c>
      <c r="AA6" s="271"/>
      <c r="AB6" s="262"/>
      <c r="AC6" s="262"/>
      <c r="AD6" s="262"/>
      <c r="AE6" s="271" t="s">
        <v>283</v>
      </c>
      <c r="AF6" s="262"/>
      <c r="AG6" s="262"/>
      <c r="AH6" s="254"/>
      <c r="AI6" s="254"/>
      <c r="AJ6" s="263"/>
      <c r="AK6" s="262"/>
      <c r="AL6" s="262"/>
    </row>
    <row r="7" spans="1:39" s="246" customFormat="1" ht="13.5" customHeight="1" thickBot="1" x14ac:dyDescent="0.2">
      <c r="A7" s="244"/>
      <c r="B7" s="244"/>
      <c r="C7" s="245"/>
      <c r="D7" s="247"/>
      <c r="E7" s="267" t="s">
        <v>175</v>
      </c>
      <c r="F7" s="247"/>
      <c r="G7" s="247"/>
      <c r="H7" s="247"/>
      <c r="I7" s="247"/>
      <c r="J7" s="247"/>
      <c r="K7" s="247"/>
      <c r="L7" s="250"/>
      <c r="M7" s="560"/>
      <c r="N7" s="561"/>
      <c r="O7" s="562"/>
      <c r="P7" s="561"/>
      <c r="Q7" s="272"/>
      <c r="R7" s="563"/>
      <c r="S7" s="563"/>
      <c r="T7" s="258"/>
      <c r="U7" s="258"/>
      <c r="V7" s="273" t="s">
        <v>285</v>
      </c>
      <c r="W7" s="274"/>
      <c r="X7" s="275"/>
      <c r="Y7" s="275"/>
      <c r="Z7" s="275"/>
      <c r="AA7" s="275"/>
      <c r="AB7" s="275"/>
      <c r="AC7" s="275"/>
      <c r="AD7" s="276" t="s">
        <v>272</v>
      </c>
      <c r="AE7" s="260"/>
      <c r="AF7" s="277"/>
      <c r="AG7" s="277"/>
      <c r="AH7" s="258"/>
      <c r="AI7" s="258"/>
      <c r="AJ7" s="254"/>
      <c r="AK7" s="277"/>
      <c r="AL7" s="277"/>
      <c r="AM7" s="278"/>
    </row>
    <row r="8" spans="1:39" s="246" customFormat="1" ht="15.75" customHeight="1" thickBot="1" x14ac:dyDescent="0.2">
      <c r="A8" s="784" t="s">
        <v>72</v>
      </c>
      <c r="B8" s="279" t="s">
        <v>73</v>
      </c>
      <c r="C8" s="786" t="s">
        <v>176</v>
      </c>
      <c r="D8" s="788" t="s">
        <v>177</v>
      </c>
      <c r="E8" s="766" t="s">
        <v>178</v>
      </c>
      <c r="F8" s="789" t="s">
        <v>395</v>
      </c>
      <c r="G8" s="788" t="s">
        <v>179</v>
      </c>
      <c r="H8" s="789" t="s">
        <v>78</v>
      </c>
      <c r="I8" s="791" t="s">
        <v>19</v>
      </c>
      <c r="J8" s="792"/>
      <c r="K8" s="792" t="s">
        <v>74</v>
      </c>
      <c r="L8" s="792"/>
      <c r="M8" s="767" t="s">
        <v>180</v>
      </c>
      <c r="N8" s="788" t="s">
        <v>181</v>
      </c>
      <c r="O8" s="766" t="s">
        <v>315</v>
      </c>
      <c r="P8" s="766" t="s">
        <v>316</v>
      </c>
      <c r="Q8" s="777" t="s">
        <v>48</v>
      </c>
      <c r="R8" s="778"/>
      <c r="S8" s="779"/>
      <c r="T8" s="768" t="s">
        <v>100</v>
      </c>
      <c r="U8" s="768"/>
      <c r="V8" s="284" t="s">
        <v>275</v>
      </c>
      <c r="W8" s="285"/>
      <c r="X8" s="286"/>
      <c r="Y8" s="286"/>
      <c r="Z8" s="286"/>
      <c r="AA8" s="286"/>
      <c r="AB8" s="286"/>
      <c r="AC8" s="286"/>
      <c r="AD8" s="286"/>
      <c r="AE8" s="286" t="s">
        <v>272</v>
      </c>
      <c r="AF8" s="769" t="s">
        <v>276</v>
      </c>
      <c r="AG8" s="771" t="s">
        <v>277</v>
      </c>
      <c r="AH8" s="773" t="s">
        <v>273</v>
      </c>
      <c r="AI8" s="761" t="s">
        <v>80</v>
      </c>
      <c r="AJ8" s="763" t="s">
        <v>188</v>
      </c>
      <c r="AK8" s="764"/>
      <c r="AL8" s="765"/>
    </row>
    <row r="9" spans="1:39" s="246" customFormat="1" ht="28.5" customHeight="1" thickBot="1" x14ac:dyDescent="0.2">
      <c r="A9" s="785"/>
      <c r="B9" s="287" t="s">
        <v>75</v>
      </c>
      <c r="C9" s="787"/>
      <c r="D9" s="789"/>
      <c r="E9" s="790"/>
      <c r="F9" s="789"/>
      <c r="G9" s="789"/>
      <c r="H9" s="789"/>
      <c r="I9" s="281" t="s">
        <v>76</v>
      </c>
      <c r="J9" s="282" t="s">
        <v>77</v>
      </c>
      <c r="K9" s="282" t="s">
        <v>76</v>
      </c>
      <c r="L9" s="282" t="s">
        <v>77</v>
      </c>
      <c r="M9" s="789"/>
      <c r="N9" s="789"/>
      <c r="O9" s="767"/>
      <c r="P9" s="767"/>
      <c r="Q9" s="459" t="s">
        <v>318</v>
      </c>
      <c r="R9" s="459" t="s">
        <v>317</v>
      </c>
      <c r="S9" s="459" t="s">
        <v>313</v>
      </c>
      <c r="T9" s="283" t="s">
        <v>101</v>
      </c>
      <c r="U9" s="288" t="s">
        <v>102</v>
      </c>
      <c r="V9" s="571" t="s">
        <v>104</v>
      </c>
      <c r="W9" s="572"/>
      <c r="X9" s="568" t="s">
        <v>267</v>
      </c>
      <c r="Y9" s="569" t="s">
        <v>270</v>
      </c>
      <c r="Z9" s="569" t="s">
        <v>269</v>
      </c>
      <c r="AA9" s="569" t="s">
        <v>268</v>
      </c>
      <c r="AB9" s="569" t="s">
        <v>265</v>
      </c>
      <c r="AC9" s="569" t="s">
        <v>266</v>
      </c>
      <c r="AD9" s="570"/>
      <c r="AE9" s="573" t="s">
        <v>99</v>
      </c>
      <c r="AF9" s="770"/>
      <c r="AG9" s="772"/>
      <c r="AH9" s="774"/>
      <c r="AI9" s="762"/>
      <c r="AJ9" s="280" t="s">
        <v>173</v>
      </c>
      <c r="AK9" s="280" t="s">
        <v>174</v>
      </c>
      <c r="AL9" s="282" t="s">
        <v>183</v>
      </c>
    </row>
    <row r="10" spans="1:39" s="184" customFormat="1" ht="20.100000000000001" customHeight="1" x14ac:dyDescent="0.15">
      <c r="A10" s="182">
        <f>IF(D10="","",A9+1)</f>
        <v>1</v>
      </c>
      <c r="B10" s="175">
        <v>1</v>
      </c>
      <c r="C10" s="197">
        <v>101</v>
      </c>
      <c r="D10" s="198" t="s">
        <v>363</v>
      </c>
      <c r="E10" s="198" t="s">
        <v>144</v>
      </c>
      <c r="F10" s="645"/>
      <c r="G10" s="646">
        <v>33785</v>
      </c>
      <c r="H10" s="646">
        <v>42070</v>
      </c>
      <c r="I10" s="199">
        <f>IF(G10="","",DATEDIF(G10-1,$I$4,"Y"))</f>
        <v>30</v>
      </c>
      <c r="J10" s="199">
        <f t="shared" ref="J10:J73" si="0">IF(G10="","",DATEDIF(G10-1,$I$4,"YM"))</f>
        <v>9</v>
      </c>
      <c r="K10" s="199">
        <f t="shared" ref="K10:K73" si="1">IF(H10="","",DATEDIF(H10-1,$I$4,"Y"))</f>
        <v>8</v>
      </c>
      <c r="L10" s="199">
        <f t="shared" ref="L10:L73" si="2">IF(H10="","",DATEDIF(H10-1,$I$4,"YM"))</f>
        <v>0</v>
      </c>
      <c r="M10" s="183">
        <v>5</v>
      </c>
      <c r="N10" s="209">
        <v>6</v>
      </c>
      <c r="O10" s="236">
        <f t="shared" ref="O10:O74" si="3">IF($C10="","",$M10*$N10)</f>
        <v>30</v>
      </c>
      <c r="P10" s="237">
        <f t="shared" ref="P10:P74" si="4">IF($O10="","",365/7*$O10)</f>
        <v>1564.2857142857144</v>
      </c>
      <c r="Q10" s="192">
        <v>1070</v>
      </c>
      <c r="R10" s="461">
        <v>30</v>
      </c>
      <c r="S10" s="466">
        <f>IF($Q10="","",$Q10+$R10)</f>
        <v>1100</v>
      </c>
      <c r="T10" s="238">
        <f>IF($Q10="","",$P10*$Q10)</f>
        <v>1673785.7142857146</v>
      </c>
      <c r="U10" s="467">
        <f>IF($Q10="","",$T10/12)</f>
        <v>139482.14285714287</v>
      </c>
      <c r="V10" s="471"/>
      <c r="W10" s="472"/>
      <c r="X10" s="469">
        <v>2500</v>
      </c>
      <c r="Y10" s="457"/>
      <c r="Z10" s="457"/>
      <c r="AA10" s="457"/>
      <c r="AB10" s="457"/>
      <c r="AC10" s="457"/>
      <c r="AD10" s="472"/>
      <c r="AE10" s="480">
        <v>2000</v>
      </c>
      <c r="AF10" s="578">
        <f>IF($Q10="","",SUM($U10:$W10))</f>
        <v>139482.14285714287</v>
      </c>
      <c r="AG10" s="576">
        <f>IF($Q10="","",SUM($U10:$AD10))</f>
        <v>141982.14285714287</v>
      </c>
      <c r="AH10" s="574">
        <f>IF($Q10="","",SUM($U10:$AE10))</f>
        <v>143982.14285714287</v>
      </c>
      <c r="AI10" s="238">
        <f>IF($C10="","",VLOOKUP($AH10,'3-1.標準報酬月額・保険料表'!$N$8:$O$57,2,TRUE))</f>
        <v>142000</v>
      </c>
      <c r="AJ10" s="183">
        <v>50000</v>
      </c>
      <c r="AK10" s="183">
        <v>75000</v>
      </c>
      <c r="AL10" s="238">
        <f>IF($AJ10+$AK10=0,0,AJ10+$AK10)</f>
        <v>125000</v>
      </c>
    </row>
    <row r="11" spans="1:39" s="184" customFormat="1" ht="20.100000000000001" customHeight="1" x14ac:dyDescent="0.15">
      <c r="A11" s="185">
        <f t="shared" ref="A11:A74" si="5">IF(D11="","",A10+1)</f>
        <v>2</v>
      </c>
      <c r="B11" s="176">
        <v>1</v>
      </c>
      <c r="C11" s="57">
        <v>102</v>
      </c>
      <c r="D11" s="177" t="s">
        <v>364</v>
      </c>
      <c r="E11" s="177" t="s">
        <v>137</v>
      </c>
      <c r="F11" s="647"/>
      <c r="G11" s="648">
        <v>35397</v>
      </c>
      <c r="H11" s="648">
        <v>42787</v>
      </c>
      <c r="I11" s="186">
        <f>IF(G11="","",DATEDIF(G11-1,$I$4,"Y"))</f>
        <v>26</v>
      </c>
      <c r="J11" s="186">
        <f t="shared" si="0"/>
        <v>4</v>
      </c>
      <c r="K11" s="186">
        <f t="shared" si="1"/>
        <v>6</v>
      </c>
      <c r="L11" s="186">
        <f t="shared" si="2"/>
        <v>1</v>
      </c>
      <c r="M11" s="187">
        <v>5</v>
      </c>
      <c r="N11" s="210">
        <v>4</v>
      </c>
      <c r="O11" s="236">
        <f t="shared" si="3"/>
        <v>20</v>
      </c>
      <c r="P11" s="237">
        <f t="shared" si="4"/>
        <v>1042.8571428571429</v>
      </c>
      <c r="Q11" s="456">
        <v>1000</v>
      </c>
      <c r="R11" s="456">
        <v>40</v>
      </c>
      <c r="S11" s="460">
        <f>IF($Q11="","",$Q11+$R11)</f>
        <v>1040</v>
      </c>
      <c r="T11" s="239">
        <f t="shared" ref="T11:T74" si="6">IF($Q11="","",$P11*$Q11)</f>
        <v>1042857.1428571428</v>
      </c>
      <c r="U11" s="468">
        <f t="shared" ref="U11:U74" si="7">IF($Q11="","",$T11/12)</f>
        <v>86904.761904761908</v>
      </c>
      <c r="V11" s="473"/>
      <c r="W11" s="474"/>
      <c r="X11" s="470">
        <v>2000</v>
      </c>
      <c r="Y11" s="454"/>
      <c r="Z11" s="454"/>
      <c r="AA11" s="454"/>
      <c r="AB11" s="454"/>
      <c r="AC11" s="454"/>
      <c r="AD11" s="474"/>
      <c r="AE11" s="481">
        <v>2000</v>
      </c>
      <c r="AF11" s="579">
        <f t="shared" ref="AF11:AF74" si="8">IF($Q11="","",SUM($U11:$W11))</f>
        <v>86904.761904761908</v>
      </c>
      <c r="AG11" s="577">
        <f>IF($Q11="","",SUM($U11:$AD11))</f>
        <v>88904.761904761908</v>
      </c>
      <c r="AH11" s="575">
        <f t="shared" ref="AH11:AH74" si="9">IF($Q11="","",SUM($U11:$AE11))</f>
        <v>90904.761904761908</v>
      </c>
      <c r="AI11" s="239">
        <f>IF($C11="","",VLOOKUP($AH11,'3-1.標準報酬月額・保険料表'!$N$8:$O$57,2,TRUE))</f>
        <v>88000</v>
      </c>
      <c r="AJ11" s="187"/>
      <c r="AK11" s="187"/>
      <c r="AL11" s="239">
        <f t="shared" ref="AL11:AL73" si="10">IF($AJ11+$AK11=0,0,AJ11+$AK11)</f>
        <v>0</v>
      </c>
    </row>
    <row r="12" spans="1:39" s="184" customFormat="1" ht="20.100000000000001" customHeight="1" x14ac:dyDescent="0.15">
      <c r="A12" s="185">
        <f t="shared" si="5"/>
        <v>3</v>
      </c>
      <c r="B12" s="176">
        <v>2</v>
      </c>
      <c r="C12" s="57">
        <v>103</v>
      </c>
      <c r="D12" s="177" t="s">
        <v>365</v>
      </c>
      <c r="E12" s="177" t="s">
        <v>151</v>
      </c>
      <c r="F12" s="647"/>
      <c r="G12" s="648">
        <v>31236</v>
      </c>
      <c r="H12" s="648">
        <v>39520</v>
      </c>
      <c r="I12" s="186">
        <f t="shared" ref="I12:I75" si="11">IF(G12="","",DATEDIF(G12-1,$I$4,"Y"))</f>
        <v>37</v>
      </c>
      <c r="J12" s="186">
        <f t="shared" si="0"/>
        <v>8</v>
      </c>
      <c r="K12" s="186">
        <f t="shared" si="1"/>
        <v>15</v>
      </c>
      <c r="L12" s="186">
        <f t="shared" si="2"/>
        <v>0</v>
      </c>
      <c r="M12" s="187">
        <v>4</v>
      </c>
      <c r="N12" s="210">
        <v>4</v>
      </c>
      <c r="O12" s="236">
        <f t="shared" si="3"/>
        <v>16</v>
      </c>
      <c r="P12" s="237">
        <f t="shared" si="4"/>
        <v>834.28571428571433</v>
      </c>
      <c r="Q12" s="456">
        <v>960</v>
      </c>
      <c r="R12" s="456">
        <v>40</v>
      </c>
      <c r="S12" s="460">
        <f t="shared" ref="S12:S74" si="12">IF($Q12="","",$Q12+$R12)</f>
        <v>1000</v>
      </c>
      <c r="T12" s="239">
        <f>IF($Q12="","",$P12*$Q12)</f>
        <v>800914.2857142858</v>
      </c>
      <c r="U12" s="468">
        <f t="shared" si="7"/>
        <v>66742.857142857145</v>
      </c>
      <c r="V12" s="475"/>
      <c r="W12" s="474"/>
      <c r="X12" s="470">
        <v>2000</v>
      </c>
      <c r="Y12" s="454"/>
      <c r="Z12" s="454"/>
      <c r="AA12" s="454"/>
      <c r="AB12" s="454"/>
      <c r="AC12" s="454"/>
      <c r="AD12" s="474"/>
      <c r="AE12" s="481">
        <v>2500</v>
      </c>
      <c r="AF12" s="579">
        <f t="shared" si="8"/>
        <v>66742.857142857145</v>
      </c>
      <c r="AG12" s="577">
        <f t="shared" ref="AG12:AG74" si="13">IF($Q12="","",SUM($U12:$AD12))</f>
        <v>68742.857142857145</v>
      </c>
      <c r="AH12" s="575">
        <f t="shared" si="9"/>
        <v>71242.857142857145</v>
      </c>
      <c r="AI12" s="239">
        <f>IF($C12="","",VLOOKUP($AH12,'3-1.標準報酬月額・保険料表'!$N$8:$O$57,2,TRUE))</f>
        <v>68000</v>
      </c>
      <c r="AJ12" s="187"/>
      <c r="AK12" s="187"/>
      <c r="AL12" s="239">
        <f t="shared" si="10"/>
        <v>0</v>
      </c>
    </row>
    <row r="13" spans="1:39" s="184" customFormat="1" ht="20.100000000000001" customHeight="1" x14ac:dyDescent="0.15">
      <c r="A13" s="185">
        <f t="shared" si="5"/>
        <v>4</v>
      </c>
      <c r="B13" s="451">
        <v>1</v>
      </c>
      <c r="C13" s="452">
        <v>104</v>
      </c>
      <c r="D13" s="453" t="s">
        <v>366</v>
      </c>
      <c r="E13" s="453" t="s">
        <v>151</v>
      </c>
      <c r="F13" s="649"/>
      <c r="G13" s="650">
        <v>29870</v>
      </c>
      <c r="H13" s="650">
        <v>41345</v>
      </c>
      <c r="I13" s="186">
        <f t="shared" si="11"/>
        <v>41</v>
      </c>
      <c r="J13" s="186">
        <f t="shared" si="0"/>
        <v>5</v>
      </c>
      <c r="K13" s="186">
        <f t="shared" si="1"/>
        <v>10</v>
      </c>
      <c r="L13" s="186">
        <f t="shared" si="2"/>
        <v>0</v>
      </c>
      <c r="M13" s="187">
        <v>5</v>
      </c>
      <c r="N13" s="210">
        <v>4.75</v>
      </c>
      <c r="O13" s="236">
        <f t="shared" si="3"/>
        <v>23.75</v>
      </c>
      <c r="P13" s="237">
        <f t="shared" si="4"/>
        <v>1238.3928571428571</v>
      </c>
      <c r="Q13" s="456">
        <v>980</v>
      </c>
      <c r="R13" s="456">
        <v>30</v>
      </c>
      <c r="S13" s="460">
        <f t="shared" si="12"/>
        <v>1010</v>
      </c>
      <c r="T13" s="239">
        <f t="shared" si="6"/>
        <v>1213625</v>
      </c>
      <c r="U13" s="468">
        <f t="shared" si="7"/>
        <v>101135.41666666667</v>
      </c>
      <c r="V13" s="475"/>
      <c r="W13" s="474"/>
      <c r="X13" s="470">
        <v>2000</v>
      </c>
      <c r="Y13" s="454">
        <v>5000</v>
      </c>
      <c r="Z13" s="454"/>
      <c r="AA13" s="454"/>
      <c r="AB13" s="454"/>
      <c r="AC13" s="454"/>
      <c r="AD13" s="474"/>
      <c r="AE13" s="481">
        <v>2500</v>
      </c>
      <c r="AF13" s="579">
        <f t="shared" si="8"/>
        <v>101135.41666666667</v>
      </c>
      <c r="AG13" s="577">
        <f t="shared" si="13"/>
        <v>108135.41666666667</v>
      </c>
      <c r="AH13" s="575">
        <f t="shared" si="9"/>
        <v>110635.41666666667</v>
      </c>
      <c r="AI13" s="239">
        <f>IF($C13="","",VLOOKUP($AH13,'3-1.標準報酬月額・保険料表'!$N$8:$O$57,2,TRUE))</f>
        <v>110000</v>
      </c>
      <c r="AJ13" s="187">
        <v>30000</v>
      </c>
      <c r="AK13" s="187">
        <v>30000</v>
      </c>
      <c r="AL13" s="239">
        <f t="shared" si="10"/>
        <v>60000</v>
      </c>
    </row>
    <row r="14" spans="1:39" s="184" customFormat="1" ht="20.100000000000001" customHeight="1" x14ac:dyDescent="0.15">
      <c r="A14" s="185">
        <f t="shared" si="5"/>
        <v>5</v>
      </c>
      <c r="B14" s="451">
        <v>2</v>
      </c>
      <c r="C14" s="452">
        <v>105</v>
      </c>
      <c r="D14" s="453" t="s">
        <v>367</v>
      </c>
      <c r="E14" s="453" t="s">
        <v>152</v>
      </c>
      <c r="F14" s="645"/>
      <c r="G14" s="650">
        <v>34715</v>
      </c>
      <c r="H14" s="650">
        <v>42125</v>
      </c>
      <c r="I14" s="186">
        <f t="shared" si="11"/>
        <v>28</v>
      </c>
      <c r="J14" s="186">
        <f t="shared" si="0"/>
        <v>2</v>
      </c>
      <c r="K14" s="186">
        <f t="shared" si="1"/>
        <v>7</v>
      </c>
      <c r="L14" s="186">
        <f t="shared" si="2"/>
        <v>11</v>
      </c>
      <c r="M14" s="187">
        <v>5</v>
      </c>
      <c r="N14" s="210">
        <v>7</v>
      </c>
      <c r="O14" s="236">
        <f t="shared" si="3"/>
        <v>35</v>
      </c>
      <c r="P14" s="237">
        <f t="shared" si="4"/>
        <v>1825</v>
      </c>
      <c r="Q14" s="456">
        <v>980</v>
      </c>
      <c r="R14" s="456">
        <v>40</v>
      </c>
      <c r="S14" s="460">
        <f t="shared" si="12"/>
        <v>1020</v>
      </c>
      <c r="T14" s="239">
        <f t="shared" si="6"/>
        <v>1788500</v>
      </c>
      <c r="U14" s="468">
        <f t="shared" si="7"/>
        <v>149041.66666666666</v>
      </c>
      <c r="V14" s="475"/>
      <c r="W14" s="474"/>
      <c r="X14" s="470"/>
      <c r="Y14" s="454"/>
      <c r="Z14" s="454"/>
      <c r="AA14" s="454"/>
      <c r="AB14" s="454"/>
      <c r="AC14" s="454"/>
      <c r="AD14" s="474"/>
      <c r="AE14" s="481"/>
      <c r="AF14" s="579">
        <f t="shared" si="8"/>
        <v>149041.66666666666</v>
      </c>
      <c r="AG14" s="577">
        <f t="shared" si="13"/>
        <v>149041.66666666666</v>
      </c>
      <c r="AH14" s="575">
        <f t="shared" si="9"/>
        <v>149041.66666666666</v>
      </c>
      <c r="AI14" s="239">
        <f>IF($C14="","",VLOOKUP($AH14,'3-1.標準報酬月額・保険料表'!$N$8:$O$57,2,TRUE))</f>
        <v>150000</v>
      </c>
      <c r="AJ14" s="187">
        <v>50000</v>
      </c>
      <c r="AK14" s="187">
        <v>70000</v>
      </c>
      <c r="AL14" s="240">
        <f t="shared" si="10"/>
        <v>120000</v>
      </c>
    </row>
    <row r="15" spans="1:39" s="184" customFormat="1" ht="20.100000000000001" customHeight="1" x14ac:dyDescent="0.15">
      <c r="A15" s="185" t="str">
        <f t="shared" si="5"/>
        <v/>
      </c>
      <c r="B15" s="451"/>
      <c r="C15" s="452"/>
      <c r="D15" s="453"/>
      <c r="E15" s="453"/>
      <c r="F15" s="649"/>
      <c r="G15" s="650"/>
      <c r="H15" s="650"/>
      <c r="I15" s="186" t="str">
        <f t="shared" si="11"/>
        <v/>
      </c>
      <c r="J15" s="186" t="str">
        <f t="shared" si="0"/>
        <v/>
      </c>
      <c r="K15" s="186" t="str">
        <f t="shared" si="1"/>
        <v/>
      </c>
      <c r="L15" s="186" t="str">
        <f t="shared" si="2"/>
        <v/>
      </c>
      <c r="M15" s="454"/>
      <c r="N15" s="455"/>
      <c r="O15" s="236" t="str">
        <f t="shared" si="3"/>
        <v/>
      </c>
      <c r="P15" s="237" t="str">
        <f t="shared" si="4"/>
        <v/>
      </c>
      <c r="Q15" s="456"/>
      <c r="R15" s="456"/>
      <c r="S15" s="456" t="str">
        <f t="shared" si="12"/>
        <v/>
      </c>
      <c r="T15" s="239" t="str">
        <f t="shared" si="6"/>
        <v/>
      </c>
      <c r="U15" s="468" t="str">
        <f t="shared" si="7"/>
        <v/>
      </c>
      <c r="V15" s="475"/>
      <c r="W15" s="474"/>
      <c r="X15" s="470"/>
      <c r="Y15" s="454"/>
      <c r="Z15" s="457"/>
      <c r="AA15" s="454"/>
      <c r="AB15" s="454"/>
      <c r="AC15" s="454"/>
      <c r="AD15" s="474"/>
      <c r="AE15" s="481"/>
      <c r="AF15" s="579" t="str">
        <f t="shared" si="8"/>
        <v/>
      </c>
      <c r="AG15" s="577" t="str">
        <f t="shared" si="13"/>
        <v/>
      </c>
      <c r="AH15" s="575" t="str">
        <f t="shared" si="9"/>
        <v/>
      </c>
      <c r="AI15" s="239" t="str">
        <f>IF($C15="","",VLOOKUP($AH15,'3-1.標準報酬月額・保険料表'!$N$8:$O$57,2,TRUE))</f>
        <v/>
      </c>
      <c r="AJ15" s="187"/>
      <c r="AK15" s="187"/>
      <c r="AL15" s="239">
        <f t="shared" si="10"/>
        <v>0</v>
      </c>
    </row>
    <row r="16" spans="1:39" s="184" customFormat="1" ht="20.100000000000001" customHeight="1" x14ac:dyDescent="0.15">
      <c r="A16" s="185" t="str">
        <f>IF(D16="","",A15+1)</f>
        <v/>
      </c>
      <c r="B16" s="451"/>
      <c r="C16" s="452"/>
      <c r="D16" s="453"/>
      <c r="E16" s="453"/>
      <c r="F16" s="649"/>
      <c r="G16" s="650"/>
      <c r="H16" s="650"/>
      <c r="I16" s="186" t="str">
        <f t="shared" si="11"/>
        <v/>
      </c>
      <c r="J16" s="186" t="str">
        <f t="shared" si="0"/>
        <v/>
      </c>
      <c r="K16" s="186" t="str">
        <f t="shared" si="1"/>
        <v/>
      </c>
      <c r="L16" s="186" t="str">
        <f t="shared" si="2"/>
        <v/>
      </c>
      <c r="M16" s="454"/>
      <c r="N16" s="455"/>
      <c r="O16" s="236" t="str">
        <f t="shared" si="3"/>
        <v/>
      </c>
      <c r="P16" s="237" t="str">
        <f t="shared" si="4"/>
        <v/>
      </c>
      <c r="Q16" s="456"/>
      <c r="R16" s="456"/>
      <c r="S16" s="456" t="str">
        <f t="shared" si="12"/>
        <v/>
      </c>
      <c r="T16" s="239" t="str">
        <f t="shared" si="6"/>
        <v/>
      </c>
      <c r="U16" s="468" t="str">
        <f t="shared" si="7"/>
        <v/>
      </c>
      <c r="V16" s="475"/>
      <c r="W16" s="474"/>
      <c r="X16" s="470"/>
      <c r="Y16" s="454"/>
      <c r="Z16" s="454"/>
      <c r="AA16" s="454"/>
      <c r="AB16" s="454"/>
      <c r="AC16" s="454"/>
      <c r="AD16" s="474"/>
      <c r="AE16" s="481"/>
      <c r="AF16" s="579" t="str">
        <f t="shared" si="8"/>
        <v/>
      </c>
      <c r="AG16" s="577" t="str">
        <f t="shared" si="13"/>
        <v/>
      </c>
      <c r="AH16" s="575" t="str">
        <f t="shared" si="9"/>
        <v/>
      </c>
      <c r="AI16" s="239" t="str">
        <f>IF($C16="","",VLOOKUP($AH16,'3-1.標準報酬月額・保険料表'!$N$8:$O$57,2,TRUE))</f>
        <v/>
      </c>
      <c r="AJ16" s="187"/>
      <c r="AK16" s="187"/>
      <c r="AL16" s="239">
        <f t="shared" si="10"/>
        <v>0</v>
      </c>
    </row>
    <row r="17" spans="1:38" s="184" customFormat="1" ht="20.100000000000001" customHeight="1" x14ac:dyDescent="0.15">
      <c r="A17" s="185" t="str">
        <f t="shared" si="5"/>
        <v/>
      </c>
      <c r="B17" s="451"/>
      <c r="C17" s="452"/>
      <c r="D17" s="453"/>
      <c r="E17" s="453"/>
      <c r="F17" s="649"/>
      <c r="G17" s="650"/>
      <c r="H17" s="650"/>
      <c r="I17" s="186" t="str">
        <f t="shared" si="11"/>
        <v/>
      </c>
      <c r="J17" s="186" t="str">
        <f t="shared" si="0"/>
        <v/>
      </c>
      <c r="K17" s="186" t="str">
        <f t="shared" si="1"/>
        <v/>
      </c>
      <c r="L17" s="186" t="str">
        <f t="shared" si="2"/>
        <v/>
      </c>
      <c r="M17" s="454"/>
      <c r="N17" s="455"/>
      <c r="O17" s="236" t="str">
        <f t="shared" si="3"/>
        <v/>
      </c>
      <c r="P17" s="237" t="str">
        <f t="shared" si="4"/>
        <v/>
      </c>
      <c r="Q17" s="456"/>
      <c r="R17" s="456"/>
      <c r="S17" s="456" t="str">
        <f t="shared" si="12"/>
        <v/>
      </c>
      <c r="T17" s="239" t="str">
        <f t="shared" si="6"/>
        <v/>
      </c>
      <c r="U17" s="468" t="str">
        <f t="shared" si="7"/>
        <v/>
      </c>
      <c r="V17" s="475"/>
      <c r="W17" s="474"/>
      <c r="X17" s="470"/>
      <c r="Y17" s="454"/>
      <c r="Z17" s="454"/>
      <c r="AA17" s="454"/>
      <c r="AB17" s="454"/>
      <c r="AC17" s="454"/>
      <c r="AD17" s="474"/>
      <c r="AE17" s="481"/>
      <c r="AF17" s="579" t="str">
        <f t="shared" si="8"/>
        <v/>
      </c>
      <c r="AG17" s="577" t="str">
        <f t="shared" si="13"/>
        <v/>
      </c>
      <c r="AH17" s="575" t="str">
        <f t="shared" si="9"/>
        <v/>
      </c>
      <c r="AI17" s="239" t="str">
        <f>IF($C17="","",VLOOKUP($AH17,'3-1.標準報酬月額・保険料表'!$N$8:$O$57,2,TRUE))</f>
        <v/>
      </c>
      <c r="AJ17" s="187"/>
      <c r="AK17" s="187"/>
      <c r="AL17" s="239">
        <f t="shared" si="10"/>
        <v>0</v>
      </c>
    </row>
    <row r="18" spans="1:38" s="184" customFormat="1" ht="20.100000000000001" customHeight="1" x14ac:dyDescent="0.15">
      <c r="A18" s="185" t="str">
        <f t="shared" si="5"/>
        <v/>
      </c>
      <c r="B18" s="451"/>
      <c r="C18" s="452"/>
      <c r="D18" s="453"/>
      <c r="E18" s="453"/>
      <c r="F18" s="649"/>
      <c r="G18" s="650"/>
      <c r="H18" s="650"/>
      <c r="I18" s="186" t="str">
        <f t="shared" si="11"/>
        <v/>
      </c>
      <c r="J18" s="186" t="str">
        <f t="shared" si="0"/>
        <v/>
      </c>
      <c r="K18" s="186" t="str">
        <f t="shared" si="1"/>
        <v/>
      </c>
      <c r="L18" s="186" t="str">
        <f t="shared" si="2"/>
        <v/>
      </c>
      <c r="M18" s="454"/>
      <c r="N18" s="455"/>
      <c r="O18" s="236" t="str">
        <f t="shared" si="3"/>
        <v/>
      </c>
      <c r="P18" s="237" t="str">
        <f t="shared" si="4"/>
        <v/>
      </c>
      <c r="Q18" s="456"/>
      <c r="R18" s="456"/>
      <c r="S18" s="456" t="str">
        <f t="shared" si="12"/>
        <v/>
      </c>
      <c r="T18" s="239" t="str">
        <f t="shared" si="6"/>
        <v/>
      </c>
      <c r="U18" s="468" t="str">
        <f t="shared" si="7"/>
        <v/>
      </c>
      <c r="V18" s="475"/>
      <c r="W18" s="474"/>
      <c r="X18" s="470"/>
      <c r="Y18" s="454"/>
      <c r="Z18" s="454"/>
      <c r="AA18" s="454"/>
      <c r="AB18" s="454"/>
      <c r="AC18" s="454"/>
      <c r="AD18" s="474"/>
      <c r="AE18" s="481"/>
      <c r="AF18" s="579" t="str">
        <f t="shared" si="8"/>
        <v/>
      </c>
      <c r="AG18" s="577" t="str">
        <f t="shared" si="13"/>
        <v/>
      </c>
      <c r="AH18" s="575" t="str">
        <f t="shared" si="9"/>
        <v/>
      </c>
      <c r="AI18" s="239" t="str">
        <f>IF($C18="","",VLOOKUP($AH18,'3-1.標準報酬月額・保険料表'!$N$8:$O$57,2,TRUE))</f>
        <v/>
      </c>
      <c r="AJ18" s="187"/>
      <c r="AK18" s="187"/>
      <c r="AL18" s="239">
        <f t="shared" si="10"/>
        <v>0</v>
      </c>
    </row>
    <row r="19" spans="1:38" s="184" customFormat="1" ht="20.100000000000001" customHeight="1" x14ac:dyDescent="0.15">
      <c r="A19" s="185" t="str">
        <f t="shared" si="5"/>
        <v/>
      </c>
      <c r="B19" s="451"/>
      <c r="C19" s="452"/>
      <c r="D19" s="453"/>
      <c r="E19" s="453"/>
      <c r="F19" s="649"/>
      <c r="G19" s="650"/>
      <c r="H19" s="650"/>
      <c r="I19" s="186" t="str">
        <f t="shared" si="11"/>
        <v/>
      </c>
      <c r="J19" s="186" t="str">
        <f t="shared" si="0"/>
        <v/>
      </c>
      <c r="K19" s="186" t="str">
        <f t="shared" si="1"/>
        <v/>
      </c>
      <c r="L19" s="186" t="str">
        <f t="shared" si="2"/>
        <v/>
      </c>
      <c r="M19" s="454"/>
      <c r="N19" s="455"/>
      <c r="O19" s="236" t="str">
        <f t="shared" si="3"/>
        <v/>
      </c>
      <c r="P19" s="237" t="str">
        <f t="shared" si="4"/>
        <v/>
      </c>
      <c r="Q19" s="456"/>
      <c r="R19" s="456"/>
      <c r="S19" s="456" t="str">
        <f t="shared" si="12"/>
        <v/>
      </c>
      <c r="T19" s="239" t="str">
        <f t="shared" si="6"/>
        <v/>
      </c>
      <c r="U19" s="468" t="str">
        <f t="shared" si="7"/>
        <v/>
      </c>
      <c r="V19" s="475"/>
      <c r="W19" s="474"/>
      <c r="X19" s="470"/>
      <c r="Y19" s="454"/>
      <c r="Z19" s="454"/>
      <c r="AA19" s="454"/>
      <c r="AB19" s="454"/>
      <c r="AC19" s="454"/>
      <c r="AD19" s="474"/>
      <c r="AE19" s="481"/>
      <c r="AF19" s="579" t="str">
        <f t="shared" si="8"/>
        <v/>
      </c>
      <c r="AG19" s="577" t="str">
        <f t="shared" si="13"/>
        <v/>
      </c>
      <c r="AH19" s="575" t="str">
        <f t="shared" si="9"/>
        <v/>
      </c>
      <c r="AI19" s="239" t="str">
        <f>IF($C19="","",VLOOKUP($AH19,'3-1.標準報酬月額・保険料表'!$N$8:$O$57,2,TRUE))</f>
        <v/>
      </c>
      <c r="AJ19" s="187"/>
      <c r="AK19" s="187"/>
      <c r="AL19" s="239">
        <f t="shared" si="10"/>
        <v>0</v>
      </c>
    </row>
    <row r="20" spans="1:38" s="184" customFormat="1" ht="20.100000000000001" customHeight="1" x14ac:dyDescent="0.15">
      <c r="A20" s="185" t="str">
        <f t="shared" si="5"/>
        <v/>
      </c>
      <c r="B20" s="451"/>
      <c r="C20" s="452"/>
      <c r="D20" s="453"/>
      <c r="E20" s="453"/>
      <c r="F20" s="649"/>
      <c r="G20" s="650"/>
      <c r="H20" s="650"/>
      <c r="I20" s="186" t="str">
        <f t="shared" si="11"/>
        <v/>
      </c>
      <c r="J20" s="186" t="str">
        <f t="shared" si="0"/>
        <v/>
      </c>
      <c r="K20" s="186" t="str">
        <f t="shared" si="1"/>
        <v/>
      </c>
      <c r="L20" s="186" t="str">
        <f t="shared" si="2"/>
        <v/>
      </c>
      <c r="M20" s="454"/>
      <c r="N20" s="455"/>
      <c r="O20" s="236" t="str">
        <f t="shared" si="3"/>
        <v/>
      </c>
      <c r="P20" s="237" t="str">
        <f t="shared" si="4"/>
        <v/>
      </c>
      <c r="Q20" s="456"/>
      <c r="R20" s="456"/>
      <c r="S20" s="456" t="str">
        <f t="shared" si="12"/>
        <v/>
      </c>
      <c r="T20" s="239" t="str">
        <f t="shared" si="6"/>
        <v/>
      </c>
      <c r="U20" s="468" t="str">
        <f t="shared" si="7"/>
        <v/>
      </c>
      <c r="V20" s="475"/>
      <c r="W20" s="474"/>
      <c r="X20" s="470"/>
      <c r="Y20" s="454"/>
      <c r="Z20" s="454"/>
      <c r="AA20" s="454"/>
      <c r="AB20" s="454"/>
      <c r="AC20" s="454"/>
      <c r="AD20" s="474"/>
      <c r="AE20" s="481"/>
      <c r="AF20" s="579" t="str">
        <f t="shared" si="8"/>
        <v/>
      </c>
      <c r="AG20" s="577" t="str">
        <f t="shared" si="13"/>
        <v/>
      </c>
      <c r="AH20" s="575" t="str">
        <f t="shared" si="9"/>
        <v/>
      </c>
      <c r="AI20" s="239" t="str">
        <f>IF($C20="","",VLOOKUP($AH20,'3-1.標準報酬月額・保険料表'!$N$8:$O$57,2,TRUE))</f>
        <v/>
      </c>
      <c r="AJ20" s="187"/>
      <c r="AK20" s="187"/>
      <c r="AL20" s="239">
        <f t="shared" si="10"/>
        <v>0</v>
      </c>
    </row>
    <row r="21" spans="1:38" s="184" customFormat="1" ht="20.100000000000001" customHeight="1" x14ac:dyDescent="0.15">
      <c r="A21" s="185" t="str">
        <f t="shared" si="5"/>
        <v/>
      </c>
      <c r="B21" s="451"/>
      <c r="C21" s="452"/>
      <c r="D21" s="453"/>
      <c r="E21" s="453"/>
      <c r="F21" s="649"/>
      <c r="G21" s="650"/>
      <c r="H21" s="650"/>
      <c r="I21" s="186" t="str">
        <f t="shared" si="11"/>
        <v/>
      </c>
      <c r="J21" s="186" t="str">
        <f t="shared" si="0"/>
        <v/>
      </c>
      <c r="K21" s="186" t="str">
        <f t="shared" si="1"/>
        <v/>
      </c>
      <c r="L21" s="186" t="str">
        <f t="shared" si="2"/>
        <v/>
      </c>
      <c r="M21" s="454"/>
      <c r="N21" s="455"/>
      <c r="O21" s="236" t="str">
        <f t="shared" si="3"/>
        <v/>
      </c>
      <c r="P21" s="237" t="str">
        <f t="shared" si="4"/>
        <v/>
      </c>
      <c r="Q21" s="456"/>
      <c r="R21" s="456"/>
      <c r="S21" s="456" t="str">
        <f t="shared" si="12"/>
        <v/>
      </c>
      <c r="T21" s="239" t="str">
        <f t="shared" si="6"/>
        <v/>
      </c>
      <c r="U21" s="468" t="str">
        <f t="shared" si="7"/>
        <v/>
      </c>
      <c r="V21" s="475"/>
      <c r="W21" s="474"/>
      <c r="X21" s="470"/>
      <c r="Y21" s="454"/>
      <c r="Z21" s="454"/>
      <c r="AA21" s="454"/>
      <c r="AB21" s="454"/>
      <c r="AC21" s="454"/>
      <c r="AD21" s="474"/>
      <c r="AE21" s="481"/>
      <c r="AF21" s="579" t="str">
        <f t="shared" si="8"/>
        <v/>
      </c>
      <c r="AG21" s="577" t="str">
        <f t="shared" si="13"/>
        <v/>
      </c>
      <c r="AH21" s="575" t="str">
        <f t="shared" si="9"/>
        <v/>
      </c>
      <c r="AI21" s="239" t="str">
        <f>IF($C21="","",VLOOKUP($AH21,'3-1.標準報酬月額・保険料表'!$N$8:$O$57,2,TRUE))</f>
        <v/>
      </c>
      <c r="AJ21" s="187"/>
      <c r="AK21" s="187"/>
      <c r="AL21" s="239">
        <f t="shared" si="10"/>
        <v>0</v>
      </c>
    </row>
    <row r="22" spans="1:38" s="184" customFormat="1" ht="20.100000000000001" customHeight="1" x14ac:dyDescent="0.15">
      <c r="A22" s="185" t="str">
        <f t="shared" si="5"/>
        <v/>
      </c>
      <c r="B22" s="451"/>
      <c r="C22" s="452"/>
      <c r="D22" s="453"/>
      <c r="E22" s="453"/>
      <c r="F22" s="649"/>
      <c r="G22" s="650"/>
      <c r="H22" s="650"/>
      <c r="I22" s="186" t="str">
        <f t="shared" si="11"/>
        <v/>
      </c>
      <c r="J22" s="186" t="str">
        <f t="shared" si="0"/>
        <v/>
      </c>
      <c r="K22" s="186" t="str">
        <f t="shared" si="1"/>
        <v/>
      </c>
      <c r="L22" s="186" t="str">
        <f t="shared" si="2"/>
        <v/>
      </c>
      <c r="M22" s="454"/>
      <c r="N22" s="455"/>
      <c r="O22" s="236" t="str">
        <f t="shared" si="3"/>
        <v/>
      </c>
      <c r="P22" s="237" t="str">
        <f t="shared" si="4"/>
        <v/>
      </c>
      <c r="Q22" s="456"/>
      <c r="R22" s="456"/>
      <c r="S22" s="456" t="str">
        <f t="shared" si="12"/>
        <v/>
      </c>
      <c r="T22" s="239" t="str">
        <f t="shared" si="6"/>
        <v/>
      </c>
      <c r="U22" s="468" t="str">
        <f t="shared" si="7"/>
        <v/>
      </c>
      <c r="V22" s="475"/>
      <c r="W22" s="474"/>
      <c r="X22" s="470"/>
      <c r="Y22" s="454"/>
      <c r="Z22" s="454"/>
      <c r="AA22" s="454"/>
      <c r="AB22" s="454"/>
      <c r="AC22" s="454"/>
      <c r="AD22" s="474"/>
      <c r="AE22" s="481"/>
      <c r="AF22" s="579" t="str">
        <f t="shared" si="8"/>
        <v/>
      </c>
      <c r="AG22" s="577" t="str">
        <f t="shared" si="13"/>
        <v/>
      </c>
      <c r="AH22" s="575" t="str">
        <f t="shared" si="9"/>
        <v/>
      </c>
      <c r="AI22" s="239" t="str">
        <f>IF($C22="","",VLOOKUP($AH22,'3-1.標準報酬月額・保険料表'!$N$8:$O$57,2,TRUE))</f>
        <v/>
      </c>
      <c r="AJ22" s="187"/>
      <c r="AK22" s="187"/>
      <c r="AL22" s="239">
        <f t="shared" si="10"/>
        <v>0</v>
      </c>
    </row>
    <row r="23" spans="1:38" s="184" customFormat="1" ht="20.100000000000001" customHeight="1" x14ac:dyDescent="0.15">
      <c r="A23" s="185" t="str">
        <f t="shared" si="5"/>
        <v/>
      </c>
      <c r="B23" s="451"/>
      <c r="C23" s="452"/>
      <c r="D23" s="453"/>
      <c r="E23" s="453"/>
      <c r="F23" s="649"/>
      <c r="G23" s="650"/>
      <c r="H23" s="650"/>
      <c r="I23" s="186" t="str">
        <f t="shared" si="11"/>
        <v/>
      </c>
      <c r="J23" s="186" t="str">
        <f t="shared" si="0"/>
        <v/>
      </c>
      <c r="K23" s="186" t="str">
        <f t="shared" si="1"/>
        <v/>
      </c>
      <c r="L23" s="186" t="str">
        <f t="shared" si="2"/>
        <v/>
      </c>
      <c r="M23" s="454"/>
      <c r="N23" s="455"/>
      <c r="O23" s="236" t="str">
        <f t="shared" si="3"/>
        <v/>
      </c>
      <c r="P23" s="237" t="str">
        <f t="shared" si="4"/>
        <v/>
      </c>
      <c r="Q23" s="456"/>
      <c r="R23" s="456"/>
      <c r="S23" s="456" t="str">
        <f t="shared" si="12"/>
        <v/>
      </c>
      <c r="T23" s="239" t="str">
        <f t="shared" si="6"/>
        <v/>
      </c>
      <c r="U23" s="468" t="str">
        <f t="shared" si="7"/>
        <v/>
      </c>
      <c r="V23" s="475"/>
      <c r="W23" s="474"/>
      <c r="X23" s="470"/>
      <c r="Y23" s="454"/>
      <c r="Z23" s="454"/>
      <c r="AA23" s="454"/>
      <c r="AB23" s="454"/>
      <c r="AC23" s="454"/>
      <c r="AD23" s="474"/>
      <c r="AE23" s="481"/>
      <c r="AF23" s="579" t="str">
        <f t="shared" si="8"/>
        <v/>
      </c>
      <c r="AG23" s="577" t="str">
        <f t="shared" si="13"/>
        <v/>
      </c>
      <c r="AH23" s="575" t="str">
        <f t="shared" si="9"/>
        <v/>
      </c>
      <c r="AI23" s="239" t="str">
        <f>IF($C23="","",VLOOKUP($AH23,'3-1.標準報酬月額・保険料表'!$N$8:$O$57,2,TRUE))</f>
        <v/>
      </c>
      <c r="AJ23" s="187"/>
      <c r="AK23" s="187"/>
      <c r="AL23" s="239">
        <f t="shared" si="10"/>
        <v>0</v>
      </c>
    </row>
    <row r="24" spans="1:38" s="184" customFormat="1" ht="20.100000000000001" customHeight="1" x14ac:dyDescent="0.15">
      <c r="A24" s="185" t="str">
        <f t="shared" si="5"/>
        <v/>
      </c>
      <c r="B24" s="451"/>
      <c r="C24" s="452"/>
      <c r="D24" s="453"/>
      <c r="E24" s="453"/>
      <c r="F24" s="649"/>
      <c r="G24" s="650"/>
      <c r="H24" s="650"/>
      <c r="I24" s="186" t="str">
        <f t="shared" si="11"/>
        <v/>
      </c>
      <c r="J24" s="186" t="str">
        <f t="shared" si="0"/>
        <v/>
      </c>
      <c r="K24" s="186" t="str">
        <f t="shared" si="1"/>
        <v/>
      </c>
      <c r="L24" s="186" t="str">
        <f t="shared" si="2"/>
        <v/>
      </c>
      <c r="M24" s="454"/>
      <c r="N24" s="455"/>
      <c r="O24" s="236" t="str">
        <f t="shared" si="3"/>
        <v/>
      </c>
      <c r="P24" s="237" t="str">
        <f t="shared" si="4"/>
        <v/>
      </c>
      <c r="Q24" s="456"/>
      <c r="R24" s="456"/>
      <c r="S24" s="456" t="str">
        <f t="shared" si="12"/>
        <v/>
      </c>
      <c r="T24" s="239" t="str">
        <f t="shared" si="6"/>
        <v/>
      </c>
      <c r="U24" s="468" t="str">
        <f t="shared" si="7"/>
        <v/>
      </c>
      <c r="V24" s="475"/>
      <c r="W24" s="474"/>
      <c r="X24" s="470"/>
      <c r="Y24" s="454"/>
      <c r="Z24" s="454"/>
      <c r="AA24" s="454"/>
      <c r="AB24" s="454"/>
      <c r="AC24" s="454"/>
      <c r="AD24" s="474"/>
      <c r="AE24" s="481"/>
      <c r="AF24" s="579" t="str">
        <f t="shared" si="8"/>
        <v/>
      </c>
      <c r="AG24" s="577" t="str">
        <f t="shared" si="13"/>
        <v/>
      </c>
      <c r="AH24" s="575" t="str">
        <f t="shared" si="9"/>
        <v/>
      </c>
      <c r="AI24" s="239" t="str">
        <f>IF($C24="","",VLOOKUP($AH24,'3-1.標準報酬月額・保険料表'!$N$8:$O$57,2,TRUE))</f>
        <v/>
      </c>
      <c r="AJ24" s="187"/>
      <c r="AK24" s="187"/>
      <c r="AL24" s="239">
        <f t="shared" si="10"/>
        <v>0</v>
      </c>
    </row>
    <row r="25" spans="1:38" s="184" customFormat="1" ht="20.100000000000001" customHeight="1" x14ac:dyDescent="0.15">
      <c r="A25" s="185" t="str">
        <f t="shared" si="5"/>
        <v/>
      </c>
      <c r="B25" s="451"/>
      <c r="C25" s="452"/>
      <c r="D25" s="453"/>
      <c r="E25" s="453"/>
      <c r="F25" s="649"/>
      <c r="G25" s="650"/>
      <c r="H25" s="650"/>
      <c r="I25" s="186" t="str">
        <f t="shared" si="11"/>
        <v/>
      </c>
      <c r="J25" s="186" t="str">
        <f t="shared" si="0"/>
        <v/>
      </c>
      <c r="K25" s="186" t="str">
        <f t="shared" si="1"/>
        <v/>
      </c>
      <c r="L25" s="186" t="str">
        <f t="shared" si="2"/>
        <v/>
      </c>
      <c r="M25" s="454"/>
      <c r="N25" s="455"/>
      <c r="O25" s="236" t="str">
        <f t="shared" si="3"/>
        <v/>
      </c>
      <c r="P25" s="237" t="str">
        <f t="shared" si="4"/>
        <v/>
      </c>
      <c r="Q25" s="456"/>
      <c r="R25" s="456"/>
      <c r="S25" s="456" t="str">
        <f t="shared" si="12"/>
        <v/>
      </c>
      <c r="T25" s="239" t="str">
        <f t="shared" si="6"/>
        <v/>
      </c>
      <c r="U25" s="468" t="str">
        <f t="shared" si="7"/>
        <v/>
      </c>
      <c r="V25" s="475"/>
      <c r="W25" s="474"/>
      <c r="X25" s="470"/>
      <c r="Y25" s="454"/>
      <c r="Z25" s="454"/>
      <c r="AA25" s="454"/>
      <c r="AB25" s="454"/>
      <c r="AC25" s="454"/>
      <c r="AD25" s="474"/>
      <c r="AE25" s="481"/>
      <c r="AF25" s="579" t="str">
        <f t="shared" si="8"/>
        <v/>
      </c>
      <c r="AG25" s="577" t="str">
        <f t="shared" si="13"/>
        <v/>
      </c>
      <c r="AH25" s="575" t="str">
        <f t="shared" si="9"/>
        <v/>
      </c>
      <c r="AI25" s="239" t="str">
        <f>IF($C25="","",VLOOKUP($AH25,'3-1.標準報酬月額・保険料表'!$N$8:$O$57,2,TRUE))</f>
        <v/>
      </c>
      <c r="AJ25" s="187"/>
      <c r="AK25" s="187"/>
      <c r="AL25" s="239">
        <f t="shared" si="10"/>
        <v>0</v>
      </c>
    </row>
    <row r="26" spans="1:38" s="184" customFormat="1" ht="20.100000000000001" customHeight="1" x14ac:dyDescent="0.15">
      <c r="A26" s="185" t="str">
        <f t="shared" si="5"/>
        <v/>
      </c>
      <c r="B26" s="451"/>
      <c r="C26" s="452"/>
      <c r="D26" s="453"/>
      <c r="E26" s="453"/>
      <c r="F26" s="649"/>
      <c r="G26" s="650"/>
      <c r="H26" s="650"/>
      <c r="I26" s="186" t="str">
        <f t="shared" si="11"/>
        <v/>
      </c>
      <c r="J26" s="186" t="str">
        <f t="shared" si="0"/>
        <v/>
      </c>
      <c r="K26" s="186" t="str">
        <f t="shared" si="1"/>
        <v/>
      </c>
      <c r="L26" s="186" t="str">
        <f t="shared" si="2"/>
        <v/>
      </c>
      <c r="M26" s="454"/>
      <c r="N26" s="455"/>
      <c r="O26" s="236" t="str">
        <f t="shared" si="3"/>
        <v/>
      </c>
      <c r="P26" s="237" t="str">
        <f t="shared" si="4"/>
        <v/>
      </c>
      <c r="Q26" s="456"/>
      <c r="R26" s="456"/>
      <c r="S26" s="456" t="str">
        <f t="shared" si="12"/>
        <v/>
      </c>
      <c r="T26" s="239" t="str">
        <f t="shared" si="6"/>
        <v/>
      </c>
      <c r="U26" s="468" t="str">
        <f t="shared" si="7"/>
        <v/>
      </c>
      <c r="V26" s="475"/>
      <c r="W26" s="474"/>
      <c r="X26" s="470"/>
      <c r="Y26" s="454"/>
      <c r="Z26" s="454"/>
      <c r="AA26" s="454"/>
      <c r="AB26" s="454"/>
      <c r="AC26" s="454"/>
      <c r="AD26" s="474"/>
      <c r="AE26" s="481"/>
      <c r="AF26" s="579" t="str">
        <f t="shared" si="8"/>
        <v/>
      </c>
      <c r="AG26" s="577" t="str">
        <f t="shared" si="13"/>
        <v/>
      </c>
      <c r="AH26" s="575" t="str">
        <f t="shared" si="9"/>
        <v/>
      </c>
      <c r="AI26" s="239" t="str">
        <f>IF($C26="","",VLOOKUP($AH26,'3-1.標準報酬月額・保険料表'!$N$8:$O$57,2,TRUE))</f>
        <v/>
      </c>
      <c r="AJ26" s="187"/>
      <c r="AK26" s="187"/>
      <c r="AL26" s="239">
        <f t="shared" si="10"/>
        <v>0</v>
      </c>
    </row>
    <row r="27" spans="1:38" s="184" customFormat="1" ht="20.100000000000001" customHeight="1" x14ac:dyDescent="0.15">
      <c r="A27" s="185" t="str">
        <f t="shared" si="5"/>
        <v/>
      </c>
      <c r="B27" s="451"/>
      <c r="C27" s="452"/>
      <c r="D27" s="453"/>
      <c r="E27" s="453"/>
      <c r="F27" s="649"/>
      <c r="G27" s="650"/>
      <c r="H27" s="650"/>
      <c r="I27" s="186" t="str">
        <f t="shared" si="11"/>
        <v/>
      </c>
      <c r="J27" s="186" t="str">
        <f t="shared" si="0"/>
        <v/>
      </c>
      <c r="K27" s="186" t="str">
        <f t="shared" si="1"/>
        <v/>
      </c>
      <c r="L27" s="186" t="str">
        <f t="shared" si="2"/>
        <v/>
      </c>
      <c r="M27" s="454"/>
      <c r="N27" s="455"/>
      <c r="O27" s="236" t="str">
        <f t="shared" si="3"/>
        <v/>
      </c>
      <c r="P27" s="237" t="str">
        <f t="shared" si="4"/>
        <v/>
      </c>
      <c r="Q27" s="456"/>
      <c r="R27" s="456"/>
      <c r="S27" s="456" t="str">
        <f t="shared" si="12"/>
        <v/>
      </c>
      <c r="T27" s="239" t="str">
        <f t="shared" si="6"/>
        <v/>
      </c>
      <c r="U27" s="468" t="str">
        <f t="shared" si="7"/>
        <v/>
      </c>
      <c r="V27" s="475"/>
      <c r="W27" s="474"/>
      <c r="X27" s="470"/>
      <c r="Y27" s="454"/>
      <c r="Z27" s="454"/>
      <c r="AA27" s="454"/>
      <c r="AB27" s="454"/>
      <c r="AC27" s="454"/>
      <c r="AD27" s="474"/>
      <c r="AE27" s="481"/>
      <c r="AF27" s="579" t="str">
        <f t="shared" si="8"/>
        <v/>
      </c>
      <c r="AG27" s="577" t="str">
        <f t="shared" si="13"/>
        <v/>
      </c>
      <c r="AH27" s="575" t="str">
        <f t="shared" si="9"/>
        <v/>
      </c>
      <c r="AI27" s="239" t="str">
        <f>IF($C27="","",VLOOKUP($AH27,'3-1.標準報酬月額・保険料表'!$N$8:$O$57,2,TRUE))</f>
        <v/>
      </c>
      <c r="AJ27" s="187"/>
      <c r="AK27" s="187"/>
      <c r="AL27" s="239">
        <f t="shared" si="10"/>
        <v>0</v>
      </c>
    </row>
    <row r="28" spans="1:38" s="184" customFormat="1" ht="20.100000000000001" customHeight="1" x14ac:dyDescent="0.15">
      <c r="A28" s="185" t="str">
        <f t="shared" si="5"/>
        <v/>
      </c>
      <c r="B28" s="451"/>
      <c r="C28" s="452"/>
      <c r="D28" s="453"/>
      <c r="E28" s="453"/>
      <c r="F28" s="649"/>
      <c r="G28" s="650"/>
      <c r="H28" s="650"/>
      <c r="I28" s="186" t="str">
        <f t="shared" si="11"/>
        <v/>
      </c>
      <c r="J28" s="186" t="str">
        <f t="shared" si="0"/>
        <v/>
      </c>
      <c r="K28" s="186" t="str">
        <f t="shared" si="1"/>
        <v/>
      </c>
      <c r="L28" s="186" t="str">
        <f t="shared" si="2"/>
        <v/>
      </c>
      <c r="M28" s="454"/>
      <c r="N28" s="455"/>
      <c r="O28" s="236" t="str">
        <f t="shared" si="3"/>
        <v/>
      </c>
      <c r="P28" s="237" t="str">
        <f t="shared" si="4"/>
        <v/>
      </c>
      <c r="Q28" s="456"/>
      <c r="R28" s="456"/>
      <c r="S28" s="456" t="str">
        <f t="shared" si="12"/>
        <v/>
      </c>
      <c r="T28" s="239" t="str">
        <f t="shared" si="6"/>
        <v/>
      </c>
      <c r="U28" s="468" t="str">
        <f t="shared" si="7"/>
        <v/>
      </c>
      <c r="V28" s="475"/>
      <c r="W28" s="474"/>
      <c r="X28" s="470"/>
      <c r="Y28" s="454"/>
      <c r="Z28" s="454"/>
      <c r="AA28" s="454"/>
      <c r="AB28" s="454"/>
      <c r="AC28" s="454"/>
      <c r="AD28" s="474"/>
      <c r="AE28" s="481"/>
      <c r="AF28" s="579" t="str">
        <f t="shared" si="8"/>
        <v/>
      </c>
      <c r="AG28" s="577" t="str">
        <f t="shared" si="13"/>
        <v/>
      </c>
      <c r="AH28" s="575" t="str">
        <f t="shared" si="9"/>
        <v/>
      </c>
      <c r="AI28" s="239" t="str">
        <f>IF($C28="","",VLOOKUP($AH28,'3-1.標準報酬月額・保険料表'!$N$8:$O$57,2,TRUE))</f>
        <v/>
      </c>
      <c r="AJ28" s="187"/>
      <c r="AK28" s="187"/>
      <c r="AL28" s="239">
        <f t="shared" si="10"/>
        <v>0</v>
      </c>
    </row>
    <row r="29" spans="1:38" s="184" customFormat="1" ht="20.100000000000001" customHeight="1" x14ac:dyDescent="0.15">
      <c r="A29" s="185" t="str">
        <f t="shared" si="5"/>
        <v/>
      </c>
      <c r="B29" s="451"/>
      <c r="C29" s="452"/>
      <c r="D29" s="453"/>
      <c r="E29" s="453"/>
      <c r="F29" s="649"/>
      <c r="G29" s="650"/>
      <c r="H29" s="650"/>
      <c r="I29" s="186" t="str">
        <f t="shared" si="11"/>
        <v/>
      </c>
      <c r="J29" s="186" t="str">
        <f t="shared" si="0"/>
        <v/>
      </c>
      <c r="K29" s="186" t="str">
        <f t="shared" si="1"/>
        <v/>
      </c>
      <c r="L29" s="186" t="str">
        <f t="shared" si="2"/>
        <v/>
      </c>
      <c r="M29" s="454"/>
      <c r="N29" s="455"/>
      <c r="O29" s="236" t="str">
        <f t="shared" si="3"/>
        <v/>
      </c>
      <c r="P29" s="237" t="str">
        <f t="shared" si="4"/>
        <v/>
      </c>
      <c r="Q29" s="456"/>
      <c r="R29" s="456"/>
      <c r="S29" s="456" t="str">
        <f t="shared" si="12"/>
        <v/>
      </c>
      <c r="T29" s="239" t="str">
        <f t="shared" si="6"/>
        <v/>
      </c>
      <c r="U29" s="468" t="str">
        <f t="shared" si="7"/>
        <v/>
      </c>
      <c r="V29" s="475"/>
      <c r="W29" s="474"/>
      <c r="X29" s="470"/>
      <c r="Y29" s="454"/>
      <c r="Z29" s="454"/>
      <c r="AA29" s="454"/>
      <c r="AB29" s="454"/>
      <c r="AC29" s="454"/>
      <c r="AD29" s="474"/>
      <c r="AE29" s="481"/>
      <c r="AF29" s="579" t="str">
        <f t="shared" si="8"/>
        <v/>
      </c>
      <c r="AG29" s="577" t="str">
        <f t="shared" si="13"/>
        <v/>
      </c>
      <c r="AH29" s="575" t="str">
        <f t="shared" si="9"/>
        <v/>
      </c>
      <c r="AI29" s="239" t="str">
        <f>IF($C29="","",VLOOKUP($AH29,'3-1.標準報酬月額・保険料表'!$N$8:$O$57,2,TRUE))</f>
        <v/>
      </c>
      <c r="AJ29" s="187"/>
      <c r="AK29" s="187"/>
      <c r="AL29" s="239">
        <f t="shared" si="10"/>
        <v>0</v>
      </c>
    </row>
    <row r="30" spans="1:38" s="184" customFormat="1" ht="20.100000000000001" customHeight="1" x14ac:dyDescent="0.15">
      <c r="A30" s="185" t="str">
        <f t="shared" si="5"/>
        <v/>
      </c>
      <c r="B30" s="451"/>
      <c r="C30" s="452"/>
      <c r="D30" s="453"/>
      <c r="E30" s="453"/>
      <c r="F30" s="649"/>
      <c r="G30" s="650"/>
      <c r="H30" s="650"/>
      <c r="I30" s="186" t="str">
        <f t="shared" si="11"/>
        <v/>
      </c>
      <c r="J30" s="186" t="str">
        <f t="shared" si="0"/>
        <v/>
      </c>
      <c r="K30" s="186" t="str">
        <f t="shared" si="1"/>
        <v/>
      </c>
      <c r="L30" s="186" t="str">
        <f t="shared" si="2"/>
        <v/>
      </c>
      <c r="M30" s="454"/>
      <c r="N30" s="455"/>
      <c r="O30" s="236" t="str">
        <f t="shared" si="3"/>
        <v/>
      </c>
      <c r="P30" s="237" t="str">
        <f t="shared" si="4"/>
        <v/>
      </c>
      <c r="Q30" s="456"/>
      <c r="R30" s="456"/>
      <c r="S30" s="456" t="str">
        <f t="shared" si="12"/>
        <v/>
      </c>
      <c r="T30" s="239" t="str">
        <f t="shared" si="6"/>
        <v/>
      </c>
      <c r="U30" s="468" t="str">
        <f t="shared" si="7"/>
        <v/>
      </c>
      <c r="V30" s="475"/>
      <c r="W30" s="474"/>
      <c r="X30" s="470"/>
      <c r="Y30" s="454"/>
      <c r="Z30" s="454"/>
      <c r="AA30" s="454"/>
      <c r="AB30" s="454"/>
      <c r="AC30" s="454"/>
      <c r="AD30" s="474"/>
      <c r="AE30" s="481"/>
      <c r="AF30" s="579" t="str">
        <f t="shared" si="8"/>
        <v/>
      </c>
      <c r="AG30" s="577" t="str">
        <f t="shared" si="13"/>
        <v/>
      </c>
      <c r="AH30" s="575" t="str">
        <f t="shared" si="9"/>
        <v/>
      </c>
      <c r="AI30" s="239" t="str">
        <f>IF($C30="","",VLOOKUP($AH30,'3-1.標準報酬月額・保険料表'!$N$8:$O$57,2,TRUE))</f>
        <v/>
      </c>
      <c r="AJ30" s="187"/>
      <c r="AK30" s="187"/>
      <c r="AL30" s="239">
        <f t="shared" si="10"/>
        <v>0</v>
      </c>
    </row>
    <row r="31" spans="1:38" s="184" customFormat="1" ht="20.100000000000001" customHeight="1" x14ac:dyDescent="0.15">
      <c r="A31" s="185" t="str">
        <f t="shared" si="5"/>
        <v/>
      </c>
      <c r="B31" s="451"/>
      <c r="C31" s="452"/>
      <c r="D31" s="453"/>
      <c r="E31" s="453"/>
      <c r="F31" s="649"/>
      <c r="G31" s="650"/>
      <c r="H31" s="650"/>
      <c r="I31" s="186" t="str">
        <f t="shared" si="11"/>
        <v/>
      </c>
      <c r="J31" s="186" t="str">
        <f t="shared" si="0"/>
        <v/>
      </c>
      <c r="K31" s="186" t="str">
        <f t="shared" si="1"/>
        <v/>
      </c>
      <c r="L31" s="186" t="str">
        <f t="shared" si="2"/>
        <v/>
      </c>
      <c r="M31" s="454"/>
      <c r="N31" s="455"/>
      <c r="O31" s="236" t="str">
        <f t="shared" si="3"/>
        <v/>
      </c>
      <c r="P31" s="237" t="str">
        <f t="shared" si="4"/>
        <v/>
      </c>
      <c r="Q31" s="456"/>
      <c r="R31" s="456"/>
      <c r="S31" s="456" t="str">
        <f t="shared" si="12"/>
        <v/>
      </c>
      <c r="T31" s="239" t="str">
        <f t="shared" si="6"/>
        <v/>
      </c>
      <c r="U31" s="468" t="str">
        <f t="shared" si="7"/>
        <v/>
      </c>
      <c r="V31" s="475"/>
      <c r="W31" s="474"/>
      <c r="X31" s="470"/>
      <c r="Y31" s="454"/>
      <c r="Z31" s="454"/>
      <c r="AA31" s="454"/>
      <c r="AB31" s="454"/>
      <c r="AC31" s="454"/>
      <c r="AD31" s="474"/>
      <c r="AE31" s="481"/>
      <c r="AF31" s="579" t="str">
        <f t="shared" si="8"/>
        <v/>
      </c>
      <c r="AG31" s="577" t="str">
        <f t="shared" si="13"/>
        <v/>
      </c>
      <c r="AH31" s="575" t="str">
        <f t="shared" si="9"/>
        <v/>
      </c>
      <c r="AI31" s="239" t="str">
        <f>IF($C31="","",VLOOKUP($AH31,'3-1.標準報酬月額・保険料表'!$N$8:$O$57,2,TRUE))</f>
        <v/>
      </c>
      <c r="AJ31" s="187"/>
      <c r="AK31" s="187"/>
      <c r="AL31" s="239">
        <f t="shared" si="10"/>
        <v>0</v>
      </c>
    </row>
    <row r="32" spans="1:38" s="184" customFormat="1" ht="20.100000000000001" customHeight="1" x14ac:dyDescent="0.15">
      <c r="A32" s="185" t="str">
        <f t="shared" si="5"/>
        <v/>
      </c>
      <c r="B32" s="451"/>
      <c r="C32" s="452"/>
      <c r="D32" s="453"/>
      <c r="E32" s="453"/>
      <c r="F32" s="649"/>
      <c r="G32" s="650"/>
      <c r="H32" s="650"/>
      <c r="I32" s="186" t="str">
        <f t="shared" si="11"/>
        <v/>
      </c>
      <c r="J32" s="186" t="str">
        <f t="shared" si="0"/>
        <v/>
      </c>
      <c r="K32" s="186" t="str">
        <f t="shared" si="1"/>
        <v/>
      </c>
      <c r="L32" s="186" t="str">
        <f t="shared" si="2"/>
        <v/>
      </c>
      <c r="M32" s="454"/>
      <c r="N32" s="455"/>
      <c r="O32" s="236" t="str">
        <f t="shared" si="3"/>
        <v/>
      </c>
      <c r="P32" s="237" t="str">
        <f t="shared" si="4"/>
        <v/>
      </c>
      <c r="Q32" s="456"/>
      <c r="R32" s="456"/>
      <c r="S32" s="456" t="str">
        <f t="shared" si="12"/>
        <v/>
      </c>
      <c r="T32" s="239" t="str">
        <f t="shared" si="6"/>
        <v/>
      </c>
      <c r="U32" s="468" t="str">
        <f t="shared" si="7"/>
        <v/>
      </c>
      <c r="V32" s="475"/>
      <c r="W32" s="474"/>
      <c r="X32" s="470"/>
      <c r="Y32" s="454"/>
      <c r="Z32" s="454"/>
      <c r="AA32" s="454"/>
      <c r="AB32" s="454"/>
      <c r="AC32" s="454"/>
      <c r="AD32" s="474"/>
      <c r="AE32" s="481"/>
      <c r="AF32" s="579" t="str">
        <f t="shared" si="8"/>
        <v/>
      </c>
      <c r="AG32" s="577" t="str">
        <f t="shared" si="13"/>
        <v/>
      </c>
      <c r="AH32" s="575" t="str">
        <f t="shared" si="9"/>
        <v/>
      </c>
      <c r="AI32" s="239" t="str">
        <f>IF($C32="","",VLOOKUP($AH32,'3-1.標準報酬月額・保険料表'!$N$8:$O$57,2,TRUE))</f>
        <v/>
      </c>
      <c r="AJ32" s="187"/>
      <c r="AK32" s="187"/>
      <c r="AL32" s="239">
        <f t="shared" si="10"/>
        <v>0</v>
      </c>
    </row>
    <row r="33" spans="1:38" s="184" customFormat="1" ht="20.100000000000001" customHeight="1" x14ac:dyDescent="0.15">
      <c r="A33" s="185" t="str">
        <f t="shared" si="5"/>
        <v/>
      </c>
      <c r="B33" s="451"/>
      <c r="C33" s="452"/>
      <c r="D33" s="453"/>
      <c r="E33" s="453"/>
      <c r="F33" s="649"/>
      <c r="G33" s="650"/>
      <c r="H33" s="650"/>
      <c r="I33" s="186" t="str">
        <f t="shared" si="11"/>
        <v/>
      </c>
      <c r="J33" s="186" t="str">
        <f t="shared" si="0"/>
        <v/>
      </c>
      <c r="K33" s="186" t="str">
        <f t="shared" si="1"/>
        <v/>
      </c>
      <c r="L33" s="186" t="str">
        <f t="shared" si="2"/>
        <v/>
      </c>
      <c r="M33" s="454"/>
      <c r="N33" s="455"/>
      <c r="O33" s="236" t="str">
        <f t="shared" si="3"/>
        <v/>
      </c>
      <c r="P33" s="237" t="str">
        <f t="shared" si="4"/>
        <v/>
      </c>
      <c r="Q33" s="456"/>
      <c r="R33" s="456"/>
      <c r="S33" s="456" t="str">
        <f t="shared" si="12"/>
        <v/>
      </c>
      <c r="T33" s="239" t="str">
        <f t="shared" si="6"/>
        <v/>
      </c>
      <c r="U33" s="468" t="str">
        <f t="shared" si="7"/>
        <v/>
      </c>
      <c r="V33" s="475"/>
      <c r="W33" s="474"/>
      <c r="X33" s="470"/>
      <c r="Y33" s="454"/>
      <c r="Z33" s="454"/>
      <c r="AA33" s="454"/>
      <c r="AB33" s="454"/>
      <c r="AC33" s="454"/>
      <c r="AD33" s="474"/>
      <c r="AE33" s="481"/>
      <c r="AF33" s="579" t="str">
        <f t="shared" si="8"/>
        <v/>
      </c>
      <c r="AG33" s="577" t="str">
        <f t="shared" si="13"/>
        <v/>
      </c>
      <c r="AH33" s="575" t="str">
        <f t="shared" si="9"/>
        <v/>
      </c>
      <c r="AI33" s="239" t="str">
        <f>IF($C33="","",VLOOKUP($AH33,'3-1.標準報酬月額・保険料表'!$N$8:$O$57,2,TRUE))</f>
        <v/>
      </c>
      <c r="AJ33" s="187"/>
      <c r="AK33" s="187"/>
      <c r="AL33" s="239">
        <f t="shared" si="10"/>
        <v>0</v>
      </c>
    </row>
    <row r="34" spans="1:38" s="184" customFormat="1" ht="20.100000000000001" customHeight="1" x14ac:dyDescent="0.15">
      <c r="A34" s="185" t="str">
        <f t="shared" si="5"/>
        <v/>
      </c>
      <c r="B34" s="451"/>
      <c r="C34" s="452"/>
      <c r="D34" s="453"/>
      <c r="E34" s="453"/>
      <c r="F34" s="649"/>
      <c r="G34" s="650"/>
      <c r="H34" s="650"/>
      <c r="I34" s="186" t="str">
        <f t="shared" si="11"/>
        <v/>
      </c>
      <c r="J34" s="186" t="str">
        <f t="shared" si="0"/>
        <v/>
      </c>
      <c r="K34" s="186" t="str">
        <f t="shared" si="1"/>
        <v/>
      </c>
      <c r="L34" s="186" t="str">
        <f t="shared" si="2"/>
        <v/>
      </c>
      <c r="M34" s="454"/>
      <c r="N34" s="455"/>
      <c r="O34" s="236" t="str">
        <f t="shared" si="3"/>
        <v/>
      </c>
      <c r="P34" s="237" t="str">
        <f t="shared" si="4"/>
        <v/>
      </c>
      <c r="Q34" s="456"/>
      <c r="R34" s="456"/>
      <c r="S34" s="456" t="str">
        <f t="shared" si="12"/>
        <v/>
      </c>
      <c r="T34" s="239" t="str">
        <f t="shared" si="6"/>
        <v/>
      </c>
      <c r="U34" s="468" t="str">
        <f t="shared" si="7"/>
        <v/>
      </c>
      <c r="V34" s="475"/>
      <c r="W34" s="474"/>
      <c r="X34" s="470"/>
      <c r="Y34" s="454"/>
      <c r="Z34" s="454"/>
      <c r="AA34" s="454"/>
      <c r="AB34" s="454"/>
      <c r="AC34" s="454"/>
      <c r="AD34" s="474"/>
      <c r="AE34" s="481"/>
      <c r="AF34" s="579" t="str">
        <f t="shared" si="8"/>
        <v/>
      </c>
      <c r="AG34" s="577" t="str">
        <f t="shared" si="13"/>
        <v/>
      </c>
      <c r="AH34" s="575" t="str">
        <f t="shared" si="9"/>
        <v/>
      </c>
      <c r="AI34" s="239" t="str">
        <f>IF($C34="","",VLOOKUP($AH34,'3-1.標準報酬月額・保険料表'!$N$8:$O$57,2,TRUE))</f>
        <v/>
      </c>
      <c r="AJ34" s="187"/>
      <c r="AK34" s="187"/>
      <c r="AL34" s="239">
        <f t="shared" si="10"/>
        <v>0</v>
      </c>
    </row>
    <row r="35" spans="1:38" s="184" customFormat="1" ht="20.100000000000001" customHeight="1" x14ac:dyDescent="0.15">
      <c r="A35" s="185" t="str">
        <f t="shared" si="5"/>
        <v/>
      </c>
      <c r="B35" s="451"/>
      <c r="C35" s="452"/>
      <c r="D35" s="453"/>
      <c r="E35" s="453"/>
      <c r="F35" s="649"/>
      <c r="G35" s="650"/>
      <c r="H35" s="650"/>
      <c r="I35" s="186" t="str">
        <f t="shared" si="11"/>
        <v/>
      </c>
      <c r="J35" s="186" t="str">
        <f t="shared" si="0"/>
        <v/>
      </c>
      <c r="K35" s="186" t="str">
        <f t="shared" si="1"/>
        <v/>
      </c>
      <c r="L35" s="186" t="str">
        <f t="shared" si="2"/>
        <v/>
      </c>
      <c r="M35" s="454"/>
      <c r="N35" s="455"/>
      <c r="O35" s="236" t="str">
        <f t="shared" si="3"/>
        <v/>
      </c>
      <c r="P35" s="237" t="str">
        <f t="shared" si="4"/>
        <v/>
      </c>
      <c r="Q35" s="456"/>
      <c r="R35" s="456"/>
      <c r="S35" s="456" t="str">
        <f t="shared" si="12"/>
        <v/>
      </c>
      <c r="T35" s="239" t="str">
        <f t="shared" si="6"/>
        <v/>
      </c>
      <c r="U35" s="468" t="str">
        <f t="shared" si="7"/>
        <v/>
      </c>
      <c r="V35" s="475"/>
      <c r="W35" s="474"/>
      <c r="X35" s="470"/>
      <c r="Y35" s="454"/>
      <c r="Z35" s="454"/>
      <c r="AA35" s="454"/>
      <c r="AB35" s="454"/>
      <c r="AC35" s="454"/>
      <c r="AD35" s="474"/>
      <c r="AE35" s="481"/>
      <c r="AF35" s="579" t="str">
        <f t="shared" si="8"/>
        <v/>
      </c>
      <c r="AG35" s="577" t="str">
        <f t="shared" si="13"/>
        <v/>
      </c>
      <c r="AH35" s="575" t="str">
        <f t="shared" si="9"/>
        <v/>
      </c>
      <c r="AI35" s="239" t="str">
        <f>IF($C35="","",VLOOKUP($AH35,'3-1.標準報酬月額・保険料表'!$N$8:$O$57,2,TRUE))</f>
        <v/>
      </c>
      <c r="AJ35" s="187"/>
      <c r="AK35" s="187"/>
      <c r="AL35" s="239">
        <f t="shared" si="10"/>
        <v>0</v>
      </c>
    </row>
    <row r="36" spans="1:38" s="184" customFormat="1" ht="20.100000000000001" customHeight="1" x14ac:dyDescent="0.15">
      <c r="A36" s="185" t="str">
        <f t="shared" si="5"/>
        <v/>
      </c>
      <c r="B36" s="451"/>
      <c r="C36" s="452"/>
      <c r="D36" s="453"/>
      <c r="E36" s="453"/>
      <c r="F36" s="649"/>
      <c r="G36" s="650"/>
      <c r="H36" s="650"/>
      <c r="I36" s="186" t="str">
        <f t="shared" si="11"/>
        <v/>
      </c>
      <c r="J36" s="186" t="str">
        <f t="shared" si="0"/>
        <v/>
      </c>
      <c r="K36" s="186" t="str">
        <f t="shared" si="1"/>
        <v/>
      </c>
      <c r="L36" s="186" t="str">
        <f t="shared" si="2"/>
        <v/>
      </c>
      <c r="M36" s="454"/>
      <c r="N36" s="455"/>
      <c r="O36" s="236" t="str">
        <f t="shared" si="3"/>
        <v/>
      </c>
      <c r="P36" s="237" t="str">
        <f t="shared" si="4"/>
        <v/>
      </c>
      <c r="Q36" s="456"/>
      <c r="R36" s="456"/>
      <c r="S36" s="456" t="str">
        <f t="shared" si="12"/>
        <v/>
      </c>
      <c r="T36" s="239" t="str">
        <f t="shared" si="6"/>
        <v/>
      </c>
      <c r="U36" s="468" t="str">
        <f t="shared" si="7"/>
        <v/>
      </c>
      <c r="V36" s="475"/>
      <c r="W36" s="474"/>
      <c r="X36" s="470"/>
      <c r="Y36" s="454"/>
      <c r="Z36" s="454"/>
      <c r="AA36" s="454"/>
      <c r="AB36" s="454"/>
      <c r="AC36" s="454"/>
      <c r="AD36" s="474"/>
      <c r="AE36" s="481"/>
      <c r="AF36" s="579" t="str">
        <f t="shared" si="8"/>
        <v/>
      </c>
      <c r="AG36" s="577" t="str">
        <f t="shared" si="13"/>
        <v/>
      </c>
      <c r="AH36" s="575" t="str">
        <f t="shared" si="9"/>
        <v/>
      </c>
      <c r="AI36" s="239" t="str">
        <f>IF($C36="","",VLOOKUP($AH36,'3-1.標準報酬月額・保険料表'!$N$8:$O$57,2,TRUE))</f>
        <v/>
      </c>
      <c r="AJ36" s="187"/>
      <c r="AK36" s="187"/>
      <c r="AL36" s="239">
        <f t="shared" si="10"/>
        <v>0</v>
      </c>
    </row>
    <row r="37" spans="1:38" s="184" customFormat="1" ht="20.100000000000001" customHeight="1" x14ac:dyDescent="0.15">
      <c r="A37" s="185" t="str">
        <f t="shared" si="5"/>
        <v/>
      </c>
      <c r="B37" s="451"/>
      <c r="C37" s="452"/>
      <c r="D37" s="453"/>
      <c r="E37" s="453"/>
      <c r="F37" s="649"/>
      <c r="G37" s="650"/>
      <c r="H37" s="650"/>
      <c r="I37" s="186" t="str">
        <f t="shared" si="11"/>
        <v/>
      </c>
      <c r="J37" s="186" t="str">
        <f t="shared" si="0"/>
        <v/>
      </c>
      <c r="K37" s="186" t="str">
        <f t="shared" si="1"/>
        <v/>
      </c>
      <c r="L37" s="186" t="str">
        <f t="shared" si="2"/>
        <v/>
      </c>
      <c r="M37" s="454"/>
      <c r="N37" s="455"/>
      <c r="O37" s="236" t="str">
        <f t="shared" si="3"/>
        <v/>
      </c>
      <c r="P37" s="237" t="str">
        <f t="shared" si="4"/>
        <v/>
      </c>
      <c r="Q37" s="456"/>
      <c r="R37" s="456"/>
      <c r="S37" s="456" t="str">
        <f t="shared" si="12"/>
        <v/>
      </c>
      <c r="T37" s="239" t="str">
        <f t="shared" si="6"/>
        <v/>
      </c>
      <c r="U37" s="468" t="str">
        <f t="shared" si="7"/>
        <v/>
      </c>
      <c r="V37" s="475"/>
      <c r="W37" s="474"/>
      <c r="X37" s="470"/>
      <c r="Y37" s="454"/>
      <c r="Z37" s="454"/>
      <c r="AA37" s="454"/>
      <c r="AB37" s="454"/>
      <c r="AC37" s="454"/>
      <c r="AD37" s="474"/>
      <c r="AE37" s="481"/>
      <c r="AF37" s="579" t="str">
        <f t="shared" si="8"/>
        <v/>
      </c>
      <c r="AG37" s="577" t="str">
        <f t="shared" si="13"/>
        <v/>
      </c>
      <c r="AH37" s="575" t="str">
        <f t="shared" si="9"/>
        <v/>
      </c>
      <c r="AI37" s="239" t="str">
        <f>IF($C37="","",VLOOKUP($AH37,'3-1.標準報酬月額・保険料表'!$N$8:$O$57,2,TRUE))</f>
        <v/>
      </c>
      <c r="AJ37" s="187"/>
      <c r="AK37" s="187"/>
      <c r="AL37" s="239">
        <f t="shared" si="10"/>
        <v>0</v>
      </c>
    </row>
    <row r="38" spans="1:38" s="184" customFormat="1" ht="20.100000000000001" customHeight="1" x14ac:dyDescent="0.15">
      <c r="A38" s="185" t="str">
        <f t="shared" si="5"/>
        <v/>
      </c>
      <c r="B38" s="451"/>
      <c r="C38" s="452"/>
      <c r="D38" s="453"/>
      <c r="E38" s="453"/>
      <c r="F38" s="649"/>
      <c r="G38" s="650"/>
      <c r="H38" s="650"/>
      <c r="I38" s="186" t="str">
        <f t="shared" si="11"/>
        <v/>
      </c>
      <c r="J38" s="186" t="str">
        <f t="shared" si="0"/>
        <v/>
      </c>
      <c r="K38" s="186" t="str">
        <f t="shared" si="1"/>
        <v/>
      </c>
      <c r="L38" s="186" t="str">
        <f t="shared" si="2"/>
        <v/>
      </c>
      <c r="M38" s="454"/>
      <c r="N38" s="455"/>
      <c r="O38" s="236" t="str">
        <f t="shared" si="3"/>
        <v/>
      </c>
      <c r="P38" s="237" t="str">
        <f t="shared" si="4"/>
        <v/>
      </c>
      <c r="Q38" s="456"/>
      <c r="R38" s="456"/>
      <c r="S38" s="456" t="str">
        <f t="shared" si="12"/>
        <v/>
      </c>
      <c r="T38" s="239" t="str">
        <f t="shared" si="6"/>
        <v/>
      </c>
      <c r="U38" s="468" t="str">
        <f t="shared" si="7"/>
        <v/>
      </c>
      <c r="V38" s="475"/>
      <c r="W38" s="474"/>
      <c r="X38" s="470"/>
      <c r="Y38" s="454"/>
      <c r="Z38" s="454"/>
      <c r="AA38" s="454"/>
      <c r="AB38" s="454"/>
      <c r="AC38" s="454"/>
      <c r="AD38" s="474"/>
      <c r="AE38" s="481"/>
      <c r="AF38" s="579" t="str">
        <f t="shared" si="8"/>
        <v/>
      </c>
      <c r="AG38" s="577" t="str">
        <f t="shared" si="13"/>
        <v/>
      </c>
      <c r="AH38" s="575" t="str">
        <f t="shared" si="9"/>
        <v/>
      </c>
      <c r="AI38" s="239" t="str">
        <f>IF($C38="","",VLOOKUP($AH38,'3-1.標準報酬月額・保険料表'!$N$8:$O$57,2,TRUE))</f>
        <v/>
      </c>
      <c r="AJ38" s="187"/>
      <c r="AK38" s="187"/>
      <c r="AL38" s="239">
        <f t="shared" si="10"/>
        <v>0</v>
      </c>
    </row>
    <row r="39" spans="1:38" s="184" customFormat="1" ht="20.100000000000001" customHeight="1" x14ac:dyDescent="0.15">
      <c r="A39" s="185" t="str">
        <f t="shared" si="5"/>
        <v/>
      </c>
      <c r="B39" s="451"/>
      <c r="C39" s="452"/>
      <c r="D39" s="453"/>
      <c r="E39" s="453"/>
      <c r="F39" s="649"/>
      <c r="G39" s="650"/>
      <c r="H39" s="650"/>
      <c r="I39" s="186" t="str">
        <f t="shared" si="11"/>
        <v/>
      </c>
      <c r="J39" s="186" t="str">
        <f t="shared" si="0"/>
        <v/>
      </c>
      <c r="K39" s="186" t="str">
        <f t="shared" si="1"/>
        <v/>
      </c>
      <c r="L39" s="186" t="str">
        <f t="shared" si="2"/>
        <v/>
      </c>
      <c r="M39" s="454"/>
      <c r="N39" s="455"/>
      <c r="O39" s="236" t="str">
        <f t="shared" si="3"/>
        <v/>
      </c>
      <c r="P39" s="237" t="str">
        <f t="shared" si="4"/>
        <v/>
      </c>
      <c r="Q39" s="456"/>
      <c r="R39" s="456"/>
      <c r="S39" s="456" t="str">
        <f t="shared" si="12"/>
        <v/>
      </c>
      <c r="T39" s="239" t="str">
        <f t="shared" si="6"/>
        <v/>
      </c>
      <c r="U39" s="468" t="str">
        <f t="shared" si="7"/>
        <v/>
      </c>
      <c r="V39" s="475"/>
      <c r="W39" s="474"/>
      <c r="X39" s="470"/>
      <c r="Y39" s="454"/>
      <c r="Z39" s="454"/>
      <c r="AA39" s="454"/>
      <c r="AB39" s="454"/>
      <c r="AC39" s="454"/>
      <c r="AD39" s="474"/>
      <c r="AE39" s="481"/>
      <c r="AF39" s="579" t="str">
        <f t="shared" si="8"/>
        <v/>
      </c>
      <c r="AG39" s="577" t="str">
        <f t="shared" si="13"/>
        <v/>
      </c>
      <c r="AH39" s="575" t="str">
        <f t="shared" si="9"/>
        <v/>
      </c>
      <c r="AI39" s="239" t="str">
        <f>IF($C39="","",VLOOKUP($AH39,'3-1.標準報酬月額・保険料表'!$N$8:$O$57,2,TRUE))</f>
        <v/>
      </c>
      <c r="AJ39" s="187"/>
      <c r="AK39" s="187"/>
      <c r="AL39" s="239">
        <f t="shared" si="10"/>
        <v>0</v>
      </c>
    </row>
    <row r="40" spans="1:38" s="184" customFormat="1" ht="20.100000000000001" customHeight="1" x14ac:dyDescent="0.15">
      <c r="A40" s="185" t="str">
        <f t="shared" si="5"/>
        <v/>
      </c>
      <c r="B40" s="451"/>
      <c r="C40" s="452"/>
      <c r="D40" s="453"/>
      <c r="E40" s="453"/>
      <c r="F40" s="649"/>
      <c r="G40" s="650"/>
      <c r="H40" s="650"/>
      <c r="I40" s="186" t="str">
        <f t="shared" si="11"/>
        <v/>
      </c>
      <c r="J40" s="186" t="str">
        <f t="shared" si="0"/>
        <v/>
      </c>
      <c r="K40" s="186" t="str">
        <f t="shared" si="1"/>
        <v/>
      </c>
      <c r="L40" s="186" t="str">
        <f t="shared" si="2"/>
        <v/>
      </c>
      <c r="M40" s="454"/>
      <c r="N40" s="455"/>
      <c r="O40" s="236" t="str">
        <f t="shared" si="3"/>
        <v/>
      </c>
      <c r="P40" s="237" t="str">
        <f t="shared" si="4"/>
        <v/>
      </c>
      <c r="Q40" s="456"/>
      <c r="R40" s="456"/>
      <c r="S40" s="456" t="str">
        <f t="shared" si="12"/>
        <v/>
      </c>
      <c r="T40" s="239" t="str">
        <f t="shared" si="6"/>
        <v/>
      </c>
      <c r="U40" s="468" t="str">
        <f t="shared" si="7"/>
        <v/>
      </c>
      <c r="V40" s="475"/>
      <c r="W40" s="474"/>
      <c r="X40" s="470"/>
      <c r="Y40" s="454"/>
      <c r="Z40" s="454"/>
      <c r="AA40" s="454"/>
      <c r="AB40" s="454"/>
      <c r="AC40" s="454"/>
      <c r="AD40" s="474"/>
      <c r="AE40" s="481"/>
      <c r="AF40" s="579" t="str">
        <f t="shared" si="8"/>
        <v/>
      </c>
      <c r="AG40" s="577" t="str">
        <f t="shared" si="13"/>
        <v/>
      </c>
      <c r="AH40" s="575" t="str">
        <f t="shared" si="9"/>
        <v/>
      </c>
      <c r="AI40" s="239" t="str">
        <f>IF($C40="","",VLOOKUP($AH40,'3-1.標準報酬月額・保険料表'!$N$8:$O$57,2,TRUE))</f>
        <v/>
      </c>
      <c r="AJ40" s="187"/>
      <c r="AK40" s="187"/>
      <c r="AL40" s="239">
        <f t="shared" si="10"/>
        <v>0</v>
      </c>
    </row>
    <row r="41" spans="1:38" s="184" customFormat="1" ht="20.100000000000001" customHeight="1" x14ac:dyDescent="0.15">
      <c r="A41" s="185" t="str">
        <f t="shared" si="5"/>
        <v/>
      </c>
      <c r="B41" s="451"/>
      <c r="C41" s="452"/>
      <c r="D41" s="453"/>
      <c r="E41" s="453"/>
      <c r="F41" s="649"/>
      <c r="G41" s="650"/>
      <c r="H41" s="650"/>
      <c r="I41" s="186" t="str">
        <f t="shared" si="11"/>
        <v/>
      </c>
      <c r="J41" s="186" t="str">
        <f t="shared" si="0"/>
        <v/>
      </c>
      <c r="K41" s="186" t="str">
        <f t="shared" si="1"/>
        <v/>
      </c>
      <c r="L41" s="186" t="str">
        <f t="shared" si="2"/>
        <v/>
      </c>
      <c r="M41" s="454"/>
      <c r="N41" s="455"/>
      <c r="O41" s="236" t="str">
        <f t="shared" si="3"/>
        <v/>
      </c>
      <c r="P41" s="237" t="str">
        <f t="shared" si="4"/>
        <v/>
      </c>
      <c r="Q41" s="456"/>
      <c r="R41" s="456"/>
      <c r="S41" s="456" t="str">
        <f t="shared" si="12"/>
        <v/>
      </c>
      <c r="T41" s="239" t="str">
        <f t="shared" si="6"/>
        <v/>
      </c>
      <c r="U41" s="468" t="str">
        <f t="shared" si="7"/>
        <v/>
      </c>
      <c r="V41" s="475"/>
      <c r="W41" s="474"/>
      <c r="X41" s="470"/>
      <c r="Y41" s="454"/>
      <c r="Z41" s="454"/>
      <c r="AA41" s="454"/>
      <c r="AB41" s="454"/>
      <c r="AC41" s="454"/>
      <c r="AD41" s="474"/>
      <c r="AE41" s="481"/>
      <c r="AF41" s="579" t="str">
        <f t="shared" si="8"/>
        <v/>
      </c>
      <c r="AG41" s="577" t="str">
        <f t="shared" si="13"/>
        <v/>
      </c>
      <c r="AH41" s="575" t="str">
        <f t="shared" si="9"/>
        <v/>
      </c>
      <c r="AI41" s="239" t="str">
        <f>IF($C41="","",VLOOKUP($AH41,'3-1.標準報酬月額・保険料表'!$N$8:$O$57,2,TRUE))</f>
        <v/>
      </c>
      <c r="AJ41" s="187"/>
      <c r="AK41" s="187"/>
      <c r="AL41" s="239">
        <f t="shared" si="10"/>
        <v>0</v>
      </c>
    </row>
    <row r="42" spans="1:38" s="184" customFormat="1" ht="20.100000000000001" customHeight="1" x14ac:dyDescent="0.15">
      <c r="A42" s="185" t="str">
        <f t="shared" si="5"/>
        <v/>
      </c>
      <c r="B42" s="451"/>
      <c r="C42" s="452"/>
      <c r="D42" s="453"/>
      <c r="E42" s="453"/>
      <c r="F42" s="649"/>
      <c r="G42" s="650"/>
      <c r="H42" s="650"/>
      <c r="I42" s="186" t="str">
        <f t="shared" si="11"/>
        <v/>
      </c>
      <c r="J42" s="186" t="str">
        <f t="shared" si="0"/>
        <v/>
      </c>
      <c r="K42" s="186" t="str">
        <f t="shared" si="1"/>
        <v/>
      </c>
      <c r="L42" s="186" t="str">
        <f t="shared" si="2"/>
        <v/>
      </c>
      <c r="M42" s="454"/>
      <c r="N42" s="455"/>
      <c r="O42" s="236" t="str">
        <f t="shared" si="3"/>
        <v/>
      </c>
      <c r="P42" s="237" t="str">
        <f t="shared" si="4"/>
        <v/>
      </c>
      <c r="Q42" s="456"/>
      <c r="R42" s="456"/>
      <c r="S42" s="456" t="str">
        <f t="shared" si="12"/>
        <v/>
      </c>
      <c r="T42" s="239" t="str">
        <f t="shared" si="6"/>
        <v/>
      </c>
      <c r="U42" s="468" t="str">
        <f t="shared" si="7"/>
        <v/>
      </c>
      <c r="V42" s="475"/>
      <c r="W42" s="474"/>
      <c r="X42" s="470"/>
      <c r="Y42" s="454"/>
      <c r="Z42" s="454"/>
      <c r="AA42" s="454"/>
      <c r="AB42" s="454"/>
      <c r="AC42" s="454"/>
      <c r="AD42" s="474"/>
      <c r="AE42" s="481"/>
      <c r="AF42" s="579" t="str">
        <f t="shared" si="8"/>
        <v/>
      </c>
      <c r="AG42" s="577" t="str">
        <f t="shared" si="13"/>
        <v/>
      </c>
      <c r="AH42" s="575" t="str">
        <f t="shared" si="9"/>
        <v/>
      </c>
      <c r="AI42" s="239" t="str">
        <f>IF($C42="","",VLOOKUP($AH42,'3-1.標準報酬月額・保険料表'!$N$8:$O$57,2,TRUE))</f>
        <v/>
      </c>
      <c r="AJ42" s="187"/>
      <c r="AK42" s="187"/>
      <c r="AL42" s="239">
        <f t="shared" si="10"/>
        <v>0</v>
      </c>
    </row>
    <row r="43" spans="1:38" s="184" customFormat="1" ht="20.100000000000001" customHeight="1" x14ac:dyDescent="0.15">
      <c r="A43" s="185" t="str">
        <f t="shared" si="5"/>
        <v/>
      </c>
      <c r="B43" s="451"/>
      <c r="C43" s="452"/>
      <c r="D43" s="453"/>
      <c r="E43" s="453"/>
      <c r="F43" s="649"/>
      <c r="G43" s="650"/>
      <c r="H43" s="650"/>
      <c r="I43" s="186" t="str">
        <f t="shared" si="11"/>
        <v/>
      </c>
      <c r="J43" s="186" t="str">
        <f t="shared" si="0"/>
        <v/>
      </c>
      <c r="K43" s="186" t="str">
        <f t="shared" si="1"/>
        <v/>
      </c>
      <c r="L43" s="186" t="str">
        <f t="shared" si="2"/>
        <v/>
      </c>
      <c r="M43" s="454"/>
      <c r="N43" s="455"/>
      <c r="O43" s="236" t="str">
        <f t="shared" si="3"/>
        <v/>
      </c>
      <c r="P43" s="237" t="str">
        <f t="shared" si="4"/>
        <v/>
      </c>
      <c r="Q43" s="456"/>
      <c r="R43" s="456"/>
      <c r="S43" s="456" t="str">
        <f t="shared" si="12"/>
        <v/>
      </c>
      <c r="T43" s="239" t="str">
        <f t="shared" si="6"/>
        <v/>
      </c>
      <c r="U43" s="468" t="str">
        <f t="shared" si="7"/>
        <v/>
      </c>
      <c r="V43" s="475"/>
      <c r="W43" s="474"/>
      <c r="X43" s="470"/>
      <c r="Y43" s="454"/>
      <c r="Z43" s="454"/>
      <c r="AA43" s="454"/>
      <c r="AB43" s="454"/>
      <c r="AC43" s="454"/>
      <c r="AD43" s="474"/>
      <c r="AE43" s="481"/>
      <c r="AF43" s="579" t="str">
        <f t="shared" si="8"/>
        <v/>
      </c>
      <c r="AG43" s="577" t="str">
        <f t="shared" si="13"/>
        <v/>
      </c>
      <c r="AH43" s="575" t="str">
        <f t="shared" si="9"/>
        <v/>
      </c>
      <c r="AI43" s="239" t="str">
        <f>IF($C43="","",VLOOKUP($AH43,'3-1.標準報酬月額・保険料表'!$N$8:$O$57,2,TRUE))</f>
        <v/>
      </c>
      <c r="AJ43" s="187"/>
      <c r="AK43" s="187"/>
      <c r="AL43" s="239">
        <f t="shared" si="10"/>
        <v>0</v>
      </c>
    </row>
    <row r="44" spans="1:38" s="184" customFormat="1" ht="20.100000000000001" customHeight="1" x14ac:dyDescent="0.15">
      <c r="A44" s="185" t="str">
        <f t="shared" si="5"/>
        <v/>
      </c>
      <c r="B44" s="451"/>
      <c r="C44" s="452"/>
      <c r="D44" s="453"/>
      <c r="E44" s="453"/>
      <c r="F44" s="649"/>
      <c r="G44" s="650"/>
      <c r="H44" s="650"/>
      <c r="I44" s="186" t="str">
        <f t="shared" si="11"/>
        <v/>
      </c>
      <c r="J44" s="186" t="str">
        <f t="shared" si="0"/>
        <v/>
      </c>
      <c r="K44" s="186" t="str">
        <f t="shared" si="1"/>
        <v/>
      </c>
      <c r="L44" s="186" t="str">
        <f t="shared" si="2"/>
        <v/>
      </c>
      <c r="M44" s="454"/>
      <c r="N44" s="455"/>
      <c r="O44" s="236" t="str">
        <f t="shared" si="3"/>
        <v/>
      </c>
      <c r="P44" s="237" t="str">
        <f t="shared" si="4"/>
        <v/>
      </c>
      <c r="Q44" s="456"/>
      <c r="R44" s="456"/>
      <c r="S44" s="456" t="str">
        <f t="shared" si="12"/>
        <v/>
      </c>
      <c r="T44" s="239" t="str">
        <f t="shared" si="6"/>
        <v/>
      </c>
      <c r="U44" s="468" t="str">
        <f t="shared" si="7"/>
        <v/>
      </c>
      <c r="V44" s="475"/>
      <c r="W44" s="474"/>
      <c r="X44" s="470"/>
      <c r="Y44" s="454"/>
      <c r="Z44" s="454"/>
      <c r="AA44" s="454"/>
      <c r="AB44" s="454"/>
      <c r="AC44" s="454"/>
      <c r="AD44" s="474"/>
      <c r="AE44" s="481"/>
      <c r="AF44" s="579" t="str">
        <f t="shared" si="8"/>
        <v/>
      </c>
      <c r="AG44" s="577" t="str">
        <f t="shared" si="13"/>
        <v/>
      </c>
      <c r="AH44" s="575" t="str">
        <f t="shared" si="9"/>
        <v/>
      </c>
      <c r="AI44" s="239" t="str">
        <f>IF($C44="","",VLOOKUP($AH44,'3-1.標準報酬月額・保険料表'!$N$8:$O$57,2,TRUE))</f>
        <v/>
      </c>
      <c r="AJ44" s="187"/>
      <c r="AK44" s="187"/>
      <c r="AL44" s="239">
        <f t="shared" si="10"/>
        <v>0</v>
      </c>
    </row>
    <row r="45" spans="1:38" s="184" customFormat="1" ht="20.100000000000001" customHeight="1" x14ac:dyDescent="0.15">
      <c r="A45" s="185" t="str">
        <f t="shared" si="5"/>
        <v/>
      </c>
      <c r="B45" s="451"/>
      <c r="C45" s="452"/>
      <c r="D45" s="453"/>
      <c r="E45" s="453"/>
      <c r="F45" s="649"/>
      <c r="G45" s="650"/>
      <c r="H45" s="650"/>
      <c r="I45" s="186" t="str">
        <f t="shared" si="11"/>
        <v/>
      </c>
      <c r="J45" s="186" t="str">
        <f t="shared" si="0"/>
        <v/>
      </c>
      <c r="K45" s="186" t="str">
        <f t="shared" si="1"/>
        <v/>
      </c>
      <c r="L45" s="186" t="str">
        <f t="shared" si="2"/>
        <v/>
      </c>
      <c r="M45" s="454"/>
      <c r="N45" s="455"/>
      <c r="O45" s="236" t="str">
        <f t="shared" si="3"/>
        <v/>
      </c>
      <c r="P45" s="237" t="str">
        <f t="shared" si="4"/>
        <v/>
      </c>
      <c r="Q45" s="456"/>
      <c r="R45" s="456"/>
      <c r="S45" s="456" t="str">
        <f t="shared" si="12"/>
        <v/>
      </c>
      <c r="T45" s="239" t="str">
        <f t="shared" si="6"/>
        <v/>
      </c>
      <c r="U45" s="468" t="str">
        <f t="shared" si="7"/>
        <v/>
      </c>
      <c r="V45" s="475"/>
      <c r="W45" s="474"/>
      <c r="X45" s="470"/>
      <c r="Y45" s="454"/>
      <c r="Z45" s="454"/>
      <c r="AA45" s="454"/>
      <c r="AB45" s="454"/>
      <c r="AC45" s="454"/>
      <c r="AD45" s="474"/>
      <c r="AE45" s="481"/>
      <c r="AF45" s="579" t="str">
        <f t="shared" si="8"/>
        <v/>
      </c>
      <c r="AG45" s="577" t="str">
        <f t="shared" si="13"/>
        <v/>
      </c>
      <c r="AH45" s="575" t="str">
        <f t="shared" si="9"/>
        <v/>
      </c>
      <c r="AI45" s="239" t="str">
        <f>IF($C45="","",VLOOKUP($AH45,'3-1.標準報酬月額・保険料表'!$N$8:$O$57,2,TRUE))</f>
        <v/>
      </c>
      <c r="AJ45" s="187"/>
      <c r="AK45" s="187"/>
      <c r="AL45" s="239">
        <f t="shared" si="10"/>
        <v>0</v>
      </c>
    </row>
    <row r="46" spans="1:38" s="184" customFormat="1" ht="20.100000000000001" customHeight="1" x14ac:dyDescent="0.15">
      <c r="A46" s="185" t="str">
        <f t="shared" si="5"/>
        <v/>
      </c>
      <c r="B46" s="451"/>
      <c r="C46" s="452"/>
      <c r="D46" s="453"/>
      <c r="E46" s="453"/>
      <c r="F46" s="649"/>
      <c r="G46" s="650"/>
      <c r="H46" s="650"/>
      <c r="I46" s="186" t="str">
        <f t="shared" si="11"/>
        <v/>
      </c>
      <c r="J46" s="186" t="str">
        <f t="shared" si="0"/>
        <v/>
      </c>
      <c r="K46" s="186" t="str">
        <f t="shared" si="1"/>
        <v/>
      </c>
      <c r="L46" s="186" t="str">
        <f t="shared" si="2"/>
        <v/>
      </c>
      <c r="M46" s="454"/>
      <c r="N46" s="455"/>
      <c r="O46" s="236" t="str">
        <f t="shared" si="3"/>
        <v/>
      </c>
      <c r="P46" s="237" t="str">
        <f t="shared" si="4"/>
        <v/>
      </c>
      <c r="Q46" s="456"/>
      <c r="R46" s="456"/>
      <c r="S46" s="456" t="str">
        <f t="shared" si="12"/>
        <v/>
      </c>
      <c r="T46" s="239" t="str">
        <f t="shared" si="6"/>
        <v/>
      </c>
      <c r="U46" s="468" t="str">
        <f t="shared" si="7"/>
        <v/>
      </c>
      <c r="V46" s="475"/>
      <c r="W46" s="474"/>
      <c r="X46" s="470"/>
      <c r="Y46" s="454"/>
      <c r="Z46" s="454"/>
      <c r="AA46" s="454"/>
      <c r="AB46" s="454"/>
      <c r="AC46" s="454"/>
      <c r="AD46" s="474"/>
      <c r="AE46" s="481"/>
      <c r="AF46" s="579" t="str">
        <f t="shared" si="8"/>
        <v/>
      </c>
      <c r="AG46" s="577" t="str">
        <f t="shared" si="13"/>
        <v/>
      </c>
      <c r="AH46" s="575" t="str">
        <f t="shared" si="9"/>
        <v/>
      </c>
      <c r="AI46" s="239" t="str">
        <f>IF($C46="","",VLOOKUP($AH46,'3-1.標準報酬月額・保険料表'!$N$8:$O$57,2,TRUE))</f>
        <v/>
      </c>
      <c r="AJ46" s="187"/>
      <c r="AK46" s="187"/>
      <c r="AL46" s="239">
        <f t="shared" si="10"/>
        <v>0</v>
      </c>
    </row>
    <row r="47" spans="1:38" s="184" customFormat="1" ht="20.100000000000001" customHeight="1" x14ac:dyDescent="0.15">
      <c r="A47" s="185" t="str">
        <f t="shared" si="5"/>
        <v/>
      </c>
      <c r="B47" s="451"/>
      <c r="C47" s="452"/>
      <c r="D47" s="453"/>
      <c r="E47" s="453"/>
      <c r="F47" s="649"/>
      <c r="G47" s="650"/>
      <c r="H47" s="650"/>
      <c r="I47" s="186" t="str">
        <f t="shared" si="11"/>
        <v/>
      </c>
      <c r="J47" s="186" t="str">
        <f t="shared" si="0"/>
        <v/>
      </c>
      <c r="K47" s="186" t="str">
        <f t="shared" si="1"/>
        <v/>
      </c>
      <c r="L47" s="186" t="str">
        <f t="shared" si="2"/>
        <v/>
      </c>
      <c r="M47" s="454"/>
      <c r="N47" s="455"/>
      <c r="O47" s="236" t="str">
        <f t="shared" si="3"/>
        <v/>
      </c>
      <c r="P47" s="237" t="str">
        <f t="shared" si="4"/>
        <v/>
      </c>
      <c r="Q47" s="456"/>
      <c r="R47" s="456"/>
      <c r="S47" s="456" t="str">
        <f t="shared" si="12"/>
        <v/>
      </c>
      <c r="T47" s="239" t="str">
        <f t="shared" si="6"/>
        <v/>
      </c>
      <c r="U47" s="468" t="str">
        <f t="shared" si="7"/>
        <v/>
      </c>
      <c r="V47" s="475"/>
      <c r="W47" s="474"/>
      <c r="X47" s="470"/>
      <c r="Y47" s="454"/>
      <c r="Z47" s="454"/>
      <c r="AA47" s="454"/>
      <c r="AB47" s="454"/>
      <c r="AC47" s="454"/>
      <c r="AD47" s="474"/>
      <c r="AE47" s="481"/>
      <c r="AF47" s="579" t="str">
        <f t="shared" si="8"/>
        <v/>
      </c>
      <c r="AG47" s="577" t="str">
        <f t="shared" si="13"/>
        <v/>
      </c>
      <c r="AH47" s="575" t="str">
        <f t="shared" si="9"/>
        <v/>
      </c>
      <c r="AI47" s="239" t="str">
        <f>IF($C47="","",VLOOKUP($AH47,'3-1.標準報酬月額・保険料表'!$N$8:$O$57,2,TRUE))</f>
        <v/>
      </c>
      <c r="AJ47" s="187"/>
      <c r="AK47" s="187"/>
      <c r="AL47" s="239">
        <f t="shared" si="10"/>
        <v>0</v>
      </c>
    </row>
    <row r="48" spans="1:38" s="184" customFormat="1" ht="20.100000000000001" customHeight="1" x14ac:dyDescent="0.15">
      <c r="A48" s="185" t="str">
        <f t="shared" si="5"/>
        <v/>
      </c>
      <c r="B48" s="451"/>
      <c r="C48" s="452"/>
      <c r="D48" s="453"/>
      <c r="E48" s="453"/>
      <c r="F48" s="649"/>
      <c r="G48" s="650"/>
      <c r="H48" s="650"/>
      <c r="I48" s="186" t="str">
        <f t="shared" si="11"/>
        <v/>
      </c>
      <c r="J48" s="186" t="str">
        <f t="shared" si="0"/>
        <v/>
      </c>
      <c r="K48" s="186" t="str">
        <f t="shared" si="1"/>
        <v/>
      </c>
      <c r="L48" s="186" t="str">
        <f t="shared" si="2"/>
        <v/>
      </c>
      <c r="M48" s="454"/>
      <c r="N48" s="455"/>
      <c r="O48" s="236" t="str">
        <f t="shared" si="3"/>
        <v/>
      </c>
      <c r="P48" s="237" t="str">
        <f t="shared" si="4"/>
        <v/>
      </c>
      <c r="Q48" s="456"/>
      <c r="R48" s="456"/>
      <c r="S48" s="456" t="str">
        <f t="shared" si="12"/>
        <v/>
      </c>
      <c r="T48" s="239" t="str">
        <f t="shared" si="6"/>
        <v/>
      </c>
      <c r="U48" s="468" t="str">
        <f t="shared" si="7"/>
        <v/>
      </c>
      <c r="V48" s="475"/>
      <c r="W48" s="474"/>
      <c r="X48" s="470"/>
      <c r="Y48" s="454"/>
      <c r="Z48" s="454"/>
      <c r="AA48" s="454"/>
      <c r="AB48" s="454"/>
      <c r="AC48" s="454"/>
      <c r="AD48" s="474"/>
      <c r="AE48" s="481"/>
      <c r="AF48" s="579" t="str">
        <f t="shared" si="8"/>
        <v/>
      </c>
      <c r="AG48" s="577" t="str">
        <f t="shared" si="13"/>
        <v/>
      </c>
      <c r="AH48" s="575" t="str">
        <f t="shared" si="9"/>
        <v/>
      </c>
      <c r="AI48" s="239" t="str">
        <f>IF($C48="","",VLOOKUP($AH48,'3-1.標準報酬月額・保険料表'!$N$8:$O$57,2,TRUE))</f>
        <v/>
      </c>
      <c r="AJ48" s="187"/>
      <c r="AK48" s="187"/>
      <c r="AL48" s="239">
        <f t="shared" si="10"/>
        <v>0</v>
      </c>
    </row>
    <row r="49" spans="1:38" s="184" customFormat="1" ht="20.100000000000001" customHeight="1" x14ac:dyDescent="0.15">
      <c r="A49" s="185" t="str">
        <f t="shared" si="5"/>
        <v/>
      </c>
      <c r="B49" s="451"/>
      <c r="C49" s="452"/>
      <c r="D49" s="453"/>
      <c r="E49" s="453"/>
      <c r="F49" s="649"/>
      <c r="G49" s="650"/>
      <c r="H49" s="650"/>
      <c r="I49" s="186" t="str">
        <f t="shared" si="11"/>
        <v/>
      </c>
      <c r="J49" s="186" t="str">
        <f t="shared" si="0"/>
        <v/>
      </c>
      <c r="K49" s="186" t="str">
        <f t="shared" si="1"/>
        <v/>
      </c>
      <c r="L49" s="186" t="str">
        <f t="shared" si="2"/>
        <v/>
      </c>
      <c r="M49" s="454"/>
      <c r="N49" s="455"/>
      <c r="O49" s="236" t="str">
        <f t="shared" si="3"/>
        <v/>
      </c>
      <c r="P49" s="237" t="str">
        <f t="shared" si="4"/>
        <v/>
      </c>
      <c r="Q49" s="456"/>
      <c r="R49" s="456"/>
      <c r="S49" s="456" t="str">
        <f t="shared" si="12"/>
        <v/>
      </c>
      <c r="T49" s="239" t="str">
        <f t="shared" si="6"/>
        <v/>
      </c>
      <c r="U49" s="468" t="str">
        <f t="shared" si="7"/>
        <v/>
      </c>
      <c r="V49" s="475"/>
      <c r="W49" s="474"/>
      <c r="X49" s="470"/>
      <c r="Y49" s="454"/>
      <c r="Z49" s="454"/>
      <c r="AA49" s="454"/>
      <c r="AB49" s="454"/>
      <c r="AC49" s="454"/>
      <c r="AD49" s="474"/>
      <c r="AE49" s="481"/>
      <c r="AF49" s="579" t="str">
        <f t="shared" si="8"/>
        <v/>
      </c>
      <c r="AG49" s="577" t="str">
        <f t="shared" si="13"/>
        <v/>
      </c>
      <c r="AH49" s="575" t="str">
        <f t="shared" si="9"/>
        <v/>
      </c>
      <c r="AI49" s="239" t="str">
        <f>IF($C49="","",VLOOKUP($AH49,'3-1.標準報酬月額・保険料表'!$N$8:$O$57,2,TRUE))</f>
        <v/>
      </c>
      <c r="AJ49" s="187"/>
      <c r="AK49" s="187"/>
      <c r="AL49" s="239">
        <f t="shared" si="10"/>
        <v>0</v>
      </c>
    </row>
    <row r="50" spans="1:38" s="184" customFormat="1" ht="20.100000000000001" customHeight="1" x14ac:dyDescent="0.15">
      <c r="A50" s="185" t="str">
        <f t="shared" si="5"/>
        <v/>
      </c>
      <c r="B50" s="451"/>
      <c r="C50" s="452"/>
      <c r="D50" s="453"/>
      <c r="E50" s="453"/>
      <c r="F50" s="649"/>
      <c r="G50" s="650"/>
      <c r="H50" s="650"/>
      <c r="I50" s="186" t="str">
        <f t="shared" si="11"/>
        <v/>
      </c>
      <c r="J50" s="186" t="str">
        <f t="shared" si="0"/>
        <v/>
      </c>
      <c r="K50" s="186" t="str">
        <f t="shared" si="1"/>
        <v/>
      </c>
      <c r="L50" s="186" t="str">
        <f t="shared" si="2"/>
        <v/>
      </c>
      <c r="M50" s="454"/>
      <c r="N50" s="455"/>
      <c r="O50" s="236" t="str">
        <f t="shared" si="3"/>
        <v/>
      </c>
      <c r="P50" s="237" t="str">
        <f t="shared" si="4"/>
        <v/>
      </c>
      <c r="Q50" s="456"/>
      <c r="R50" s="456"/>
      <c r="S50" s="456" t="str">
        <f t="shared" si="12"/>
        <v/>
      </c>
      <c r="T50" s="239" t="str">
        <f t="shared" si="6"/>
        <v/>
      </c>
      <c r="U50" s="468" t="str">
        <f t="shared" si="7"/>
        <v/>
      </c>
      <c r="V50" s="475"/>
      <c r="W50" s="474"/>
      <c r="X50" s="470"/>
      <c r="Y50" s="454"/>
      <c r="Z50" s="454"/>
      <c r="AA50" s="454"/>
      <c r="AB50" s="454"/>
      <c r="AC50" s="454"/>
      <c r="AD50" s="474"/>
      <c r="AE50" s="481"/>
      <c r="AF50" s="579" t="str">
        <f t="shared" si="8"/>
        <v/>
      </c>
      <c r="AG50" s="577" t="str">
        <f t="shared" si="13"/>
        <v/>
      </c>
      <c r="AH50" s="575" t="str">
        <f t="shared" si="9"/>
        <v/>
      </c>
      <c r="AI50" s="239" t="str">
        <f>IF($C50="","",VLOOKUP($AH50,'3-1.標準報酬月額・保険料表'!$N$8:$O$57,2,TRUE))</f>
        <v/>
      </c>
      <c r="AJ50" s="187"/>
      <c r="AK50" s="187"/>
      <c r="AL50" s="239">
        <f t="shared" si="10"/>
        <v>0</v>
      </c>
    </row>
    <row r="51" spans="1:38" s="184" customFormat="1" ht="20.100000000000001" customHeight="1" x14ac:dyDescent="0.15">
      <c r="A51" s="185" t="str">
        <f t="shared" si="5"/>
        <v/>
      </c>
      <c r="B51" s="451"/>
      <c r="C51" s="452"/>
      <c r="D51" s="453"/>
      <c r="E51" s="453"/>
      <c r="F51" s="649"/>
      <c r="G51" s="650"/>
      <c r="H51" s="650"/>
      <c r="I51" s="186" t="str">
        <f t="shared" si="11"/>
        <v/>
      </c>
      <c r="J51" s="186" t="str">
        <f t="shared" si="0"/>
        <v/>
      </c>
      <c r="K51" s="186" t="str">
        <f t="shared" si="1"/>
        <v/>
      </c>
      <c r="L51" s="186" t="str">
        <f t="shared" si="2"/>
        <v/>
      </c>
      <c r="M51" s="454"/>
      <c r="N51" s="455"/>
      <c r="O51" s="236" t="str">
        <f t="shared" si="3"/>
        <v/>
      </c>
      <c r="P51" s="237" t="str">
        <f t="shared" si="4"/>
        <v/>
      </c>
      <c r="Q51" s="456"/>
      <c r="R51" s="456"/>
      <c r="S51" s="456" t="str">
        <f t="shared" si="12"/>
        <v/>
      </c>
      <c r="T51" s="239" t="str">
        <f t="shared" si="6"/>
        <v/>
      </c>
      <c r="U51" s="468" t="str">
        <f t="shared" si="7"/>
        <v/>
      </c>
      <c r="V51" s="475"/>
      <c r="W51" s="474"/>
      <c r="X51" s="470"/>
      <c r="Y51" s="454"/>
      <c r="Z51" s="454"/>
      <c r="AA51" s="454"/>
      <c r="AB51" s="454"/>
      <c r="AC51" s="454"/>
      <c r="AD51" s="474"/>
      <c r="AE51" s="481"/>
      <c r="AF51" s="579" t="str">
        <f t="shared" si="8"/>
        <v/>
      </c>
      <c r="AG51" s="577" t="str">
        <f t="shared" si="13"/>
        <v/>
      </c>
      <c r="AH51" s="575" t="str">
        <f t="shared" si="9"/>
        <v/>
      </c>
      <c r="AI51" s="239" t="str">
        <f>IF($C51="","",VLOOKUP($AH51,'3-1.標準報酬月額・保険料表'!$N$8:$O$57,2,TRUE))</f>
        <v/>
      </c>
      <c r="AJ51" s="187"/>
      <c r="AK51" s="187"/>
      <c r="AL51" s="239">
        <f t="shared" si="10"/>
        <v>0</v>
      </c>
    </row>
    <row r="52" spans="1:38" s="184" customFormat="1" ht="20.100000000000001" customHeight="1" x14ac:dyDescent="0.15">
      <c r="A52" s="185" t="str">
        <f t="shared" si="5"/>
        <v/>
      </c>
      <c r="B52" s="451"/>
      <c r="C52" s="452"/>
      <c r="D52" s="453"/>
      <c r="E52" s="453"/>
      <c r="F52" s="649"/>
      <c r="G52" s="650"/>
      <c r="H52" s="650"/>
      <c r="I52" s="186" t="str">
        <f t="shared" si="11"/>
        <v/>
      </c>
      <c r="J52" s="186" t="str">
        <f t="shared" si="0"/>
        <v/>
      </c>
      <c r="K52" s="186" t="str">
        <f t="shared" si="1"/>
        <v/>
      </c>
      <c r="L52" s="186" t="str">
        <f t="shared" si="2"/>
        <v/>
      </c>
      <c r="M52" s="454"/>
      <c r="N52" s="455"/>
      <c r="O52" s="236" t="str">
        <f t="shared" si="3"/>
        <v/>
      </c>
      <c r="P52" s="237" t="str">
        <f t="shared" si="4"/>
        <v/>
      </c>
      <c r="Q52" s="456"/>
      <c r="R52" s="456"/>
      <c r="S52" s="456" t="str">
        <f t="shared" si="12"/>
        <v/>
      </c>
      <c r="T52" s="239" t="str">
        <f t="shared" si="6"/>
        <v/>
      </c>
      <c r="U52" s="468" t="str">
        <f t="shared" si="7"/>
        <v/>
      </c>
      <c r="V52" s="475"/>
      <c r="W52" s="474"/>
      <c r="X52" s="470"/>
      <c r="Y52" s="454"/>
      <c r="Z52" s="454"/>
      <c r="AA52" s="454"/>
      <c r="AB52" s="454"/>
      <c r="AC52" s="454"/>
      <c r="AD52" s="474"/>
      <c r="AE52" s="481"/>
      <c r="AF52" s="579" t="str">
        <f t="shared" si="8"/>
        <v/>
      </c>
      <c r="AG52" s="577" t="str">
        <f t="shared" si="13"/>
        <v/>
      </c>
      <c r="AH52" s="575" t="str">
        <f t="shared" si="9"/>
        <v/>
      </c>
      <c r="AI52" s="239" t="str">
        <f>IF($C52="","",VLOOKUP($AH52,'3-1.標準報酬月額・保険料表'!$N$8:$O$57,2,TRUE))</f>
        <v/>
      </c>
      <c r="AJ52" s="187"/>
      <c r="AK52" s="187"/>
      <c r="AL52" s="239">
        <f t="shared" si="10"/>
        <v>0</v>
      </c>
    </row>
    <row r="53" spans="1:38" s="184" customFormat="1" ht="20.100000000000001" customHeight="1" x14ac:dyDescent="0.15">
      <c r="A53" s="185" t="str">
        <f t="shared" si="5"/>
        <v/>
      </c>
      <c r="B53" s="451"/>
      <c r="C53" s="452"/>
      <c r="D53" s="453"/>
      <c r="E53" s="453"/>
      <c r="F53" s="649"/>
      <c r="G53" s="650"/>
      <c r="H53" s="650"/>
      <c r="I53" s="186" t="str">
        <f t="shared" si="11"/>
        <v/>
      </c>
      <c r="J53" s="186" t="str">
        <f t="shared" si="0"/>
        <v/>
      </c>
      <c r="K53" s="186" t="str">
        <f t="shared" si="1"/>
        <v/>
      </c>
      <c r="L53" s="186" t="str">
        <f t="shared" si="2"/>
        <v/>
      </c>
      <c r="M53" s="454"/>
      <c r="N53" s="455"/>
      <c r="O53" s="236" t="str">
        <f t="shared" si="3"/>
        <v/>
      </c>
      <c r="P53" s="237" t="str">
        <f t="shared" si="4"/>
        <v/>
      </c>
      <c r="Q53" s="456"/>
      <c r="R53" s="456"/>
      <c r="S53" s="456" t="str">
        <f t="shared" si="12"/>
        <v/>
      </c>
      <c r="T53" s="239" t="str">
        <f t="shared" si="6"/>
        <v/>
      </c>
      <c r="U53" s="468" t="str">
        <f t="shared" si="7"/>
        <v/>
      </c>
      <c r="V53" s="475"/>
      <c r="W53" s="474"/>
      <c r="X53" s="470"/>
      <c r="Y53" s="454"/>
      <c r="Z53" s="454"/>
      <c r="AA53" s="454"/>
      <c r="AB53" s="454"/>
      <c r="AC53" s="454"/>
      <c r="AD53" s="474"/>
      <c r="AE53" s="481"/>
      <c r="AF53" s="579" t="str">
        <f t="shared" si="8"/>
        <v/>
      </c>
      <c r="AG53" s="577" t="str">
        <f t="shared" si="13"/>
        <v/>
      </c>
      <c r="AH53" s="575" t="str">
        <f t="shared" si="9"/>
        <v/>
      </c>
      <c r="AI53" s="239" t="str">
        <f>IF($C53="","",VLOOKUP($AH53,'3-1.標準報酬月額・保険料表'!$N$8:$O$57,2,TRUE))</f>
        <v/>
      </c>
      <c r="AJ53" s="187"/>
      <c r="AK53" s="187"/>
      <c r="AL53" s="239">
        <f t="shared" si="10"/>
        <v>0</v>
      </c>
    </row>
    <row r="54" spans="1:38" s="184" customFormat="1" ht="20.100000000000001" customHeight="1" x14ac:dyDescent="0.15">
      <c r="A54" s="185" t="str">
        <f t="shared" si="5"/>
        <v/>
      </c>
      <c r="B54" s="451"/>
      <c r="C54" s="452"/>
      <c r="D54" s="453"/>
      <c r="E54" s="453"/>
      <c r="F54" s="649"/>
      <c r="G54" s="650"/>
      <c r="H54" s="650"/>
      <c r="I54" s="186" t="str">
        <f t="shared" si="11"/>
        <v/>
      </c>
      <c r="J54" s="186" t="str">
        <f t="shared" si="0"/>
        <v/>
      </c>
      <c r="K54" s="186" t="str">
        <f t="shared" si="1"/>
        <v/>
      </c>
      <c r="L54" s="186" t="str">
        <f t="shared" si="2"/>
        <v/>
      </c>
      <c r="M54" s="454"/>
      <c r="N54" s="455"/>
      <c r="O54" s="236" t="str">
        <f t="shared" si="3"/>
        <v/>
      </c>
      <c r="P54" s="237" t="str">
        <f t="shared" si="4"/>
        <v/>
      </c>
      <c r="Q54" s="456"/>
      <c r="R54" s="456"/>
      <c r="S54" s="456" t="str">
        <f t="shared" si="12"/>
        <v/>
      </c>
      <c r="T54" s="239" t="str">
        <f t="shared" si="6"/>
        <v/>
      </c>
      <c r="U54" s="468" t="str">
        <f t="shared" si="7"/>
        <v/>
      </c>
      <c r="V54" s="475"/>
      <c r="W54" s="474"/>
      <c r="X54" s="470"/>
      <c r="Y54" s="454"/>
      <c r="Z54" s="454"/>
      <c r="AA54" s="454"/>
      <c r="AB54" s="454"/>
      <c r="AC54" s="454"/>
      <c r="AD54" s="474"/>
      <c r="AE54" s="481"/>
      <c r="AF54" s="579" t="str">
        <f t="shared" si="8"/>
        <v/>
      </c>
      <c r="AG54" s="577" t="str">
        <f t="shared" si="13"/>
        <v/>
      </c>
      <c r="AH54" s="575" t="str">
        <f t="shared" si="9"/>
        <v/>
      </c>
      <c r="AI54" s="239" t="str">
        <f>IF($C54="","",VLOOKUP($AH54,'3-1.標準報酬月額・保険料表'!$N$8:$O$57,2,TRUE))</f>
        <v/>
      </c>
      <c r="AJ54" s="187"/>
      <c r="AK54" s="187"/>
      <c r="AL54" s="239">
        <f t="shared" si="10"/>
        <v>0</v>
      </c>
    </row>
    <row r="55" spans="1:38" s="184" customFormat="1" ht="20.100000000000001" customHeight="1" x14ac:dyDescent="0.15">
      <c r="A55" s="185" t="str">
        <f t="shared" si="5"/>
        <v/>
      </c>
      <c r="B55" s="451"/>
      <c r="C55" s="452"/>
      <c r="D55" s="453"/>
      <c r="E55" s="453"/>
      <c r="F55" s="649"/>
      <c r="G55" s="650"/>
      <c r="H55" s="650"/>
      <c r="I55" s="186" t="str">
        <f t="shared" si="11"/>
        <v/>
      </c>
      <c r="J55" s="186" t="str">
        <f t="shared" si="0"/>
        <v/>
      </c>
      <c r="K55" s="186" t="str">
        <f t="shared" si="1"/>
        <v/>
      </c>
      <c r="L55" s="186" t="str">
        <f t="shared" si="2"/>
        <v/>
      </c>
      <c r="M55" s="454"/>
      <c r="N55" s="455"/>
      <c r="O55" s="236" t="str">
        <f t="shared" si="3"/>
        <v/>
      </c>
      <c r="P55" s="237" t="str">
        <f t="shared" si="4"/>
        <v/>
      </c>
      <c r="Q55" s="456"/>
      <c r="R55" s="456"/>
      <c r="S55" s="456" t="str">
        <f t="shared" si="12"/>
        <v/>
      </c>
      <c r="T55" s="239" t="str">
        <f t="shared" si="6"/>
        <v/>
      </c>
      <c r="U55" s="468" t="str">
        <f t="shared" si="7"/>
        <v/>
      </c>
      <c r="V55" s="475"/>
      <c r="W55" s="474"/>
      <c r="X55" s="470"/>
      <c r="Y55" s="454"/>
      <c r="Z55" s="454"/>
      <c r="AA55" s="454"/>
      <c r="AB55" s="454"/>
      <c r="AC55" s="454"/>
      <c r="AD55" s="474"/>
      <c r="AE55" s="481"/>
      <c r="AF55" s="579" t="str">
        <f t="shared" si="8"/>
        <v/>
      </c>
      <c r="AG55" s="577" t="str">
        <f t="shared" si="13"/>
        <v/>
      </c>
      <c r="AH55" s="575" t="str">
        <f t="shared" si="9"/>
        <v/>
      </c>
      <c r="AI55" s="239" t="str">
        <f>IF($C55="","",VLOOKUP($AH55,'3-1.標準報酬月額・保険料表'!$N$8:$O$57,2,TRUE))</f>
        <v/>
      </c>
      <c r="AJ55" s="187"/>
      <c r="AK55" s="187"/>
      <c r="AL55" s="239">
        <f t="shared" si="10"/>
        <v>0</v>
      </c>
    </row>
    <row r="56" spans="1:38" s="184" customFormat="1" ht="20.100000000000001" customHeight="1" x14ac:dyDescent="0.15">
      <c r="A56" s="185" t="str">
        <f t="shared" si="5"/>
        <v/>
      </c>
      <c r="B56" s="451"/>
      <c r="C56" s="452"/>
      <c r="D56" s="453"/>
      <c r="E56" s="453"/>
      <c r="F56" s="649"/>
      <c r="G56" s="650"/>
      <c r="H56" s="650"/>
      <c r="I56" s="186" t="str">
        <f t="shared" si="11"/>
        <v/>
      </c>
      <c r="J56" s="186" t="str">
        <f t="shared" si="0"/>
        <v/>
      </c>
      <c r="K56" s="186" t="str">
        <f t="shared" si="1"/>
        <v/>
      </c>
      <c r="L56" s="186" t="str">
        <f t="shared" si="2"/>
        <v/>
      </c>
      <c r="M56" s="454"/>
      <c r="N56" s="455"/>
      <c r="O56" s="236" t="str">
        <f t="shared" si="3"/>
        <v/>
      </c>
      <c r="P56" s="237" t="str">
        <f t="shared" si="4"/>
        <v/>
      </c>
      <c r="Q56" s="456"/>
      <c r="R56" s="456"/>
      <c r="S56" s="456" t="str">
        <f t="shared" si="12"/>
        <v/>
      </c>
      <c r="T56" s="239" t="str">
        <f t="shared" si="6"/>
        <v/>
      </c>
      <c r="U56" s="468" t="str">
        <f t="shared" si="7"/>
        <v/>
      </c>
      <c r="V56" s="475"/>
      <c r="W56" s="474"/>
      <c r="X56" s="470"/>
      <c r="Y56" s="454"/>
      <c r="Z56" s="454"/>
      <c r="AA56" s="454"/>
      <c r="AB56" s="454"/>
      <c r="AC56" s="454"/>
      <c r="AD56" s="474"/>
      <c r="AE56" s="481"/>
      <c r="AF56" s="579" t="str">
        <f t="shared" si="8"/>
        <v/>
      </c>
      <c r="AG56" s="577" t="str">
        <f t="shared" si="13"/>
        <v/>
      </c>
      <c r="AH56" s="575" t="str">
        <f t="shared" si="9"/>
        <v/>
      </c>
      <c r="AI56" s="239" t="str">
        <f>IF($C56="","",VLOOKUP($AH56,'3-1.標準報酬月額・保険料表'!$N$8:$O$57,2,TRUE))</f>
        <v/>
      </c>
      <c r="AJ56" s="187"/>
      <c r="AK56" s="187"/>
      <c r="AL56" s="239">
        <f t="shared" si="10"/>
        <v>0</v>
      </c>
    </row>
    <row r="57" spans="1:38" s="184" customFormat="1" ht="20.100000000000001" customHeight="1" x14ac:dyDescent="0.15">
      <c r="A57" s="185" t="str">
        <f t="shared" si="5"/>
        <v/>
      </c>
      <c r="B57" s="451"/>
      <c r="C57" s="452"/>
      <c r="D57" s="453"/>
      <c r="E57" s="453"/>
      <c r="F57" s="649"/>
      <c r="G57" s="650"/>
      <c r="H57" s="650"/>
      <c r="I57" s="186" t="str">
        <f t="shared" si="11"/>
        <v/>
      </c>
      <c r="J57" s="186" t="str">
        <f t="shared" si="0"/>
        <v/>
      </c>
      <c r="K57" s="186" t="str">
        <f t="shared" si="1"/>
        <v/>
      </c>
      <c r="L57" s="186" t="str">
        <f t="shared" si="2"/>
        <v/>
      </c>
      <c r="M57" s="454"/>
      <c r="N57" s="455"/>
      <c r="O57" s="236" t="str">
        <f t="shared" si="3"/>
        <v/>
      </c>
      <c r="P57" s="237" t="str">
        <f t="shared" si="4"/>
        <v/>
      </c>
      <c r="Q57" s="456"/>
      <c r="R57" s="456"/>
      <c r="S57" s="456" t="str">
        <f t="shared" si="12"/>
        <v/>
      </c>
      <c r="T57" s="239" t="str">
        <f t="shared" si="6"/>
        <v/>
      </c>
      <c r="U57" s="468" t="str">
        <f t="shared" si="7"/>
        <v/>
      </c>
      <c r="V57" s="475"/>
      <c r="W57" s="474"/>
      <c r="X57" s="470"/>
      <c r="Y57" s="454"/>
      <c r="Z57" s="454"/>
      <c r="AA57" s="454"/>
      <c r="AB57" s="454"/>
      <c r="AC57" s="454"/>
      <c r="AD57" s="474"/>
      <c r="AE57" s="481"/>
      <c r="AF57" s="579" t="str">
        <f t="shared" si="8"/>
        <v/>
      </c>
      <c r="AG57" s="577" t="str">
        <f t="shared" si="13"/>
        <v/>
      </c>
      <c r="AH57" s="575" t="str">
        <f t="shared" si="9"/>
        <v/>
      </c>
      <c r="AI57" s="239" t="str">
        <f>IF($C57="","",VLOOKUP($AH57,'3-1.標準報酬月額・保険料表'!$N$8:$O$57,2,TRUE))</f>
        <v/>
      </c>
      <c r="AJ57" s="187"/>
      <c r="AK57" s="187"/>
      <c r="AL57" s="239">
        <f t="shared" si="10"/>
        <v>0</v>
      </c>
    </row>
    <row r="58" spans="1:38" s="184" customFormat="1" ht="20.100000000000001" customHeight="1" x14ac:dyDescent="0.15">
      <c r="A58" s="185" t="str">
        <f t="shared" si="5"/>
        <v/>
      </c>
      <c r="B58" s="451"/>
      <c r="C58" s="452"/>
      <c r="D58" s="453"/>
      <c r="E58" s="453"/>
      <c r="F58" s="649"/>
      <c r="G58" s="650"/>
      <c r="H58" s="650"/>
      <c r="I58" s="186" t="str">
        <f t="shared" si="11"/>
        <v/>
      </c>
      <c r="J58" s="186" t="str">
        <f t="shared" si="0"/>
        <v/>
      </c>
      <c r="K58" s="186" t="str">
        <f t="shared" si="1"/>
        <v/>
      </c>
      <c r="L58" s="186" t="str">
        <f t="shared" si="2"/>
        <v/>
      </c>
      <c r="M58" s="454"/>
      <c r="N58" s="455"/>
      <c r="O58" s="236" t="str">
        <f t="shared" si="3"/>
        <v/>
      </c>
      <c r="P58" s="237" t="str">
        <f t="shared" si="4"/>
        <v/>
      </c>
      <c r="Q58" s="456"/>
      <c r="R58" s="456"/>
      <c r="S58" s="456" t="str">
        <f t="shared" si="12"/>
        <v/>
      </c>
      <c r="T58" s="239" t="str">
        <f t="shared" si="6"/>
        <v/>
      </c>
      <c r="U58" s="468" t="str">
        <f t="shared" si="7"/>
        <v/>
      </c>
      <c r="V58" s="475"/>
      <c r="W58" s="474"/>
      <c r="X58" s="470"/>
      <c r="Y58" s="454"/>
      <c r="Z58" s="454"/>
      <c r="AA58" s="454"/>
      <c r="AB58" s="454"/>
      <c r="AC58" s="454"/>
      <c r="AD58" s="474"/>
      <c r="AE58" s="481"/>
      <c r="AF58" s="579" t="str">
        <f t="shared" si="8"/>
        <v/>
      </c>
      <c r="AG58" s="577" t="str">
        <f t="shared" si="13"/>
        <v/>
      </c>
      <c r="AH58" s="575" t="str">
        <f t="shared" si="9"/>
        <v/>
      </c>
      <c r="AI58" s="239" t="str">
        <f>IF($C58="","",VLOOKUP($AH58,'3-1.標準報酬月額・保険料表'!$N$8:$O$57,2,TRUE))</f>
        <v/>
      </c>
      <c r="AJ58" s="187"/>
      <c r="AK58" s="187"/>
      <c r="AL58" s="239">
        <f t="shared" si="10"/>
        <v>0</v>
      </c>
    </row>
    <row r="59" spans="1:38" s="184" customFormat="1" ht="20.100000000000001" customHeight="1" x14ac:dyDescent="0.15">
      <c r="A59" s="185" t="str">
        <f t="shared" si="5"/>
        <v/>
      </c>
      <c r="B59" s="451"/>
      <c r="C59" s="452"/>
      <c r="D59" s="453"/>
      <c r="E59" s="453"/>
      <c r="F59" s="649"/>
      <c r="G59" s="650"/>
      <c r="H59" s="650"/>
      <c r="I59" s="186" t="str">
        <f t="shared" si="11"/>
        <v/>
      </c>
      <c r="J59" s="186" t="str">
        <f t="shared" si="0"/>
        <v/>
      </c>
      <c r="K59" s="186" t="str">
        <f t="shared" si="1"/>
        <v/>
      </c>
      <c r="L59" s="186" t="str">
        <f t="shared" si="2"/>
        <v/>
      </c>
      <c r="M59" s="454"/>
      <c r="N59" s="455"/>
      <c r="O59" s="236" t="str">
        <f t="shared" si="3"/>
        <v/>
      </c>
      <c r="P59" s="237" t="str">
        <f t="shared" si="4"/>
        <v/>
      </c>
      <c r="Q59" s="456"/>
      <c r="R59" s="456"/>
      <c r="S59" s="456" t="str">
        <f t="shared" si="12"/>
        <v/>
      </c>
      <c r="T59" s="239" t="str">
        <f t="shared" si="6"/>
        <v/>
      </c>
      <c r="U59" s="468" t="str">
        <f t="shared" si="7"/>
        <v/>
      </c>
      <c r="V59" s="475"/>
      <c r="W59" s="474"/>
      <c r="X59" s="470"/>
      <c r="Y59" s="454"/>
      <c r="Z59" s="454"/>
      <c r="AA59" s="454"/>
      <c r="AB59" s="454"/>
      <c r="AC59" s="454"/>
      <c r="AD59" s="474"/>
      <c r="AE59" s="481"/>
      <c r="AF59" s="579" t="str">
        <f t="shared" si="8"/>
        <v/>
      </c>
      <c r="AG59" s="577" t="str">
        <f t="shared" si="13"/>
        <v/>
      </c>
      <c r="AH59" s="575" t="str">
        <f t="shared" si="9"/>
        <v/>
      </c>
      <c r="AI59" s="239" t="str">
        <f>IF($C59="","",VLOOKUP($AH59,'3-1.標準報酬月額・保険料表'!$N$8:$O$57,2,TRUE))</f>
        <v/>
      </c>
      <c r="AJ59" s="187"/>
      <c r="AK59" s="187"/>
      <c r="AL59" s="239">
        <f t="shared" si="10"/>
        <v>0</v>
      </c>
    </row>
    <row r="60" spans="1:38" s="184" customFormat="1" ht="20.100000000000001" customHeight="1" x14ac:dyDescent="0.15">
      <c r="A60" s="185" t="str">
        <f t="shared" si="5"/>
        <v/>
      </c>
      <c r="B60" s="451"/>
      <c r="C60" s="452"/>
      <c r="D60" s="453"/>
      <c r="E60" s="453"/>
      <c r="F60" s="649"/>
      <c r="G60" s="650"/>
      <c r="H60" s="650"/>
      <c r="I60" s="186" t="str">
        <f t="shared" si="11"/>
        <v/>
      </c>
      <c r="J60" s="186" t="str">
        <f t="shared" si="0"/>
        <v/>
      </c>
      <c r="K60" s="186" t="str">
        <f t="shared" si="1"/>
        <v/>
      </c>
      <c r="L60" s="186" t="str">
        <f t="shared" si="2"/>
        <v/>
      </c>
      <c r="M60" s="454"/>
      <c r="N60" s="455"/>
      <c r="O60" s="236" t="str">
        <f t="shared" si="3"/>
        <v/>
      </c>
      <c r="P60" s="237" t="str">
        <f t="shared" si="4"/>
        <v/>
      </c>
      <c r="Q60" s="456"/>
      <c r="R60" s="456"/>
      <c r="S60" s="456" t="str">
        <f t="shared" si="12"/>
        <v/>
      </c>
      <c r="T60" s="239" t="str">
        <f t="shared" si="6"/>
        <v/>
      </c>
      <c r="U60" s="468" t="str">
        <f t="shared" si="7"/>
        <v/>
      </c>
      <c r="V60" s="475"/>
      <c r="W60" s="474"/>
      <c r="X60" s="470"/>
      <c r="Y60" s="454"/>
      <c r="Z60" s="454"/>
      <c r="AA60" s="454"/>
      <c r="AB60" s="454"/>
      <c r="AC60" s="454"/>
      <c r="AD60" s="474"/>
      <c r="AE60" s="481"/>
      <c r="AF60" s="579" t="str">
        <f t="shared" si="8"/>
        <v/>
      </c>
      <c r="AG60" s="577" t="str">
        <f t="shared" si="13"/>
        <v/>
      </c>
      <c r="AH60" s="575" t="str">
        <f t="shared" si="9"/>
        <v/>
      </c>
      <c r="AI60" s="239" t="str">
        <f>IF($C60="","",VLOOKUP($AH60,'3-1.標準報酬月額・保険料表'!$N$8:$O$57,2,TRUE))</f>
        <v/>
      </c>
      <c r="AJ60" s="187"/>
      <c r="AK60" s="187"/>
      <c r="AL60" s="239">
        <f t="shared" si="10"/>
        <v>0</v>
      </c>
    </row>
    <row r="61" spans="1:38" s="184" customFormat="1" ht="20.100000000000001" customHeight="1" x14ac:dyDescent="0.15">
      <c r="A61" s="185" t="str">
        <f t="shared" si="5"/>
        <v/>
      </c>
      <c r="B61" s="451"/>
      <c r="C61" s="452"/>
      <c r="D61" s="453"/>
      <c r="E61" s="453"/>
      <c r="F61" s="649"/>
      <c r="G61" s="650"/>
      <c r="H61" s="650"/>
      <c r="I61" s="186" t="str">
        <f t="shared" si="11"/>
        <v/>
      </c>
      <c r="J61" s="186" t="str">
        <f t="shared" si="0"/>
        <v/>
      </c>
      <c r="K61" s="186" t="str">
        <f t="shared" si="1"/>
        <v/>
      </c>
      <c r="L61" s="186" t="str">
        <f t="shared" si="2"/>
        <v/>
      </c>
      <c r="M61" s="454"/>
      <c r="N61" s="455"/>
      <c r="O61" s="236" t="str">
        <f t="shared" si="3"/>
        <v/>
      </c>
      <c r="P61" s="237" t="str">
        <f t="shared" si="4"/>
        <v/>
      </c>
      <c r="Q61" s="456"/>
      <c r="R61" s="456"/>
      <c r="S61" s="456" t="str">
        <f t="shared" si="12"/>
        <v/>
      </c>
      <c r="T61" s="239" t="str">
        <f t="shared" si="6"/>
        <v/>
      </c>
      <c r="U61" s="468" t="str">
        <f t="shared" si="7"/>
        <v/>
      </c>
      <c r="V61" s="475"/>
      <c r="W61" s="474"/>
      <c r="X61" s="470"/>
      <c r="Y61" s="454"/>
      <c r="Z61" s="454"/>
      <c r="AA61" s="454"/>
      <c r="AB61" s="454"/>
      <c r="AC61" s="454"/>
      <c r="AD61" s="474"/>
      <c r="AE61" s="481"/>
      <c r="AF61" s="579" t="str">
        <f t="shared" si="8"/>
        <v/>
      </c>
      <c r="AG61" s="577" t="str">
        <f t="shared" si="13"/>
        <v/>
      </c>
      <c r="AH61" s="575" t="str">
        <f t="shared" si="9"/>
        <v/>
      </c>
      <c r="AI61" s="239" t="str">
        <f>IF($C61="","",VLOOKUP($AH61,'3-1.標準報酬月額・保険料表'!$N$8:$O$57,2,TRUE))</f>
        <v/>
      </c>
      <c r="AJ61" s="187"/>
      <c r="AK61" s="187"/>
      <c r="AL61" s="239">
        <f t="shared" si="10"/>
        <v>0</v>
      </c>
    </row>
    <row r="62" spans="1:38" s="184" customFormat="1" ht="20.100000000000001" customHeight="1" x14ac:dyDescent="0.15">
      <c r="A62" s="185" t="str">
        <f t="shared" si="5"/>
        <v/>
      </c>
      <c r="B62" s="451"/>
      <c r="C62" s="452"/>
      <c r="D62" s="453"/>
      <c r="E62" s="453"/>
      <c r="F62" s="649"/>
      <c r="G62" s="650"/>
      <c r="H62" s="650"/>
      <c r="I62" s="186" t="str">
        <f t="shared" si="11"/>
        <v/>
      </c>
      <c r="J62" s="186" t="str">
        <f t="shared" si="0"/>
        <v/>
      </c>
      <c r="K62" s="186" t="str">
        <f t="shared" si="1"/>
        <v/>
      </c>
      <c r="L62" s="186" t="str">
        <f t="shared" si="2"/>
        <v/>
      </c>
      <c r="M62" s="454"/>
      <c r="N62" s="455"/>
      <c r="O62" s="236" t="str">
        <f t="shared" si="3"/>
        <v/>
      </c>
      <c r="P62" s="237" t="str">
        <f t="shared" si="4"/>
        <v/>
      </c>
      <c r="Q62" s="456"/>
      <c r="R62" s="456"/>
      <c r="S62" s="456" t="str">
        <f t="shared" si="12"/>
        <v/>
      </c>
      <c r="T62" s="239" t="str">
        <f t="shared" si="6"/>
        <v/>
      </c>
      <c r="U62" s="468" t="str">
        <f t="shared" si="7"/>
        <v/>
      </c>
      <c r="V62" s="475"/>
      <c r="W62" s="474"/>
      <c r="X62" s="470"/>
      <c r="Y62" s="454"/>
      <c r="Z62" s="454"/>
      <c r="AA62" s="454"/>
      <c r="AB62" s="454"/>
      <c r="AC62" s="454"/>
      <c r="AD62" s="474"/>
      <c r="AE62" s="481"/>
      <c r="AF62" s="579" t="str">
        <f t="shared" si="8"/>
        <v/>
      </c>
      <c r="AG62" s="577" t="str">
        <f t="shared" si="13"/>
        <v/>
      </c>
      <c r="AH62" s="575" t="str">
        <f t="shared" si="9"/>
        <v/>
      </c>
      <c r="AI62" s="239" t="str">
        <f>IF($C62="","",VLOOKUP($AH62,'3-1.標準報酬月額・保険料表'!$N$8:$O$57,2,TRUE))</f>
        <v/>
      </c>
      <c r="AJ62" s="187"/>
      <c r="AK62" s="187"/>
      <c r="AL62" s="239">
        <f t="shared" si="10"/>
        <v>0</v>
      </c>
    </row>
    <row r="63" spans="1:38" s="184" customFormat="1" ht="20.100000000000001" customHeight="1" x14ac:dyDescent="0.15">
      <c r="A63" s="185" t="str">
        <f t="shared" si="5"/>
        <v/>
      </c>
      <c r="B63" s="451"/>
      <c r="C63" s="452"/>
      <c r="D63" s="453"/>
      <c r="E63" s="453"/>
      <c r="F63" s="649"/>
      <c r="G63" s="650"/>
      <c r="H63" s="650"/>
      <c r="I63" s="186" t="str">
        <f t="shared" si="11"/>
        <v/>
      </c>
      <c r="J63" s="186" t="str">
        <f t="shared" si="0"/>
        <v/>
      </c>
      <c r="K63" s="186" t="str">
        <f t="shared" si="1"/>
        <v/>
      </c>
      <c r="L63" s="186" t="str">
        <f t="shared" si="2"/>
        <v/>
      </c>
      <c r="M63" s="454"/>
      <c r="N63" s="455"/>
      <c r="O63" s="236" t="str">
        <f t="shared" si="3"/>
        <v/>
      </c>
      <c r="P63" s="237" t="str">
        <f t="shared" si="4"/>
        <v/>
      </c>
      <c r="Q63" s="456"/>
      <c r="R63" s="456"/>
      <c r="S63" s="456" t="str">
        <f t="shared" si="12"/>
        <v/>
      </c>
      <c r="T63" s="239" t="str">
        <f t="shared" si="6"/>
        <v/>
      </c>
      <c r="U63" s="468" t="str">
        <f t="shared" si="7"/>
        <v/>
      </c>
      <c r="V63" s="475"/>
      <c r="W63" s="474"/>
      <c r="X63" s="470"/>
      <c r="Y63" s="454"/>
      <c r="Z63" s="454"/>
      <c r="AA63" s="454"/>
      <c r="AB63" s="454"/>
      <c r="AC63" s="454"/>
      <c r="AD63" s="474"/>
      <c r="AE63" s="481"/>
      <c r="AF63" s="579" t="str">
        <f t="shared" si="8"/>
        <v/>
      </c>
      <c r="AG63" s="577" t="str">
        <f t="shared" si="13"/>
        <v/>
      </c>
      <c r="AH63" s="575" t="str">
        <f t="shared" si="9"/>
        <v/>
      </c>
      <c r="AI63" s="239" t="str">
        <f>IF($C63="","",VLOOKUP($AH63,'3-1.標準報酬月額・保険料表'!$N$8:$O$57,2,TRUE))</f>
        <v/>
      </c>
      <c r="AJ63" s="187"/>
      <c r="AK63" s="187"/>
      <c r="AL63" s="239">
        <f t="shared" si="10"/>
        <v>0</v>
      </c>
    </row>
    <row r="64" spans="1:38" s="184" customFormat="1" ht="20.100000000000001" customHeight="1" x14ac:dyDescent="0.15">
      <c r="A64" s="185" t="str">
        <f t="shared" si="5"/>
        <v/>
      </c>
      <c r="B64" s="451"/>
      <c r="C64" s="452"/>
      <c r="D64" s="453"/>
      <c r="E64" s="453"/>
      <c r="F64" s="649"/>
      <c r="G64" s="650"/>
      <c r="H64" s="650"/>
      <c r="I64" s="186" t="str">
        <f t="shared" si="11"/>
        <v/>
      </c>
      <c r="J64" s="186" t="str">
        <f t="shared" si="0"/>
        <v/>
      </c>
      <c r="K64" s="186" t="str">
        <f t="shared" si="1"/>
        <v/>
      </c>
      <c r="L64" s="186" t="str">
        <f t="shared" si="2"/>
        <v/>
      </c>
      <c r="M64" s="454"/>
      <c r="N64" s="455"/>
      <c r="O64" s="236" t="str">
        <f t="shared" si="3"/>
        <v/>
      </c>
      <c r="P64" s="237" t="str">
        <f t="shared" si="4"/>
        <v/>
      </c>
      <c r="Q64" s="456"/>
      <c r="R64" s="456"/>
      <c r="S64" s="456" t="str">
        <f t="shared" si="12"/>
        <v/>
      </c>
      <c r="T64" s="239" t="str">
        <f t="shared" si="6"/>
        <v/>
      </c>
      <c r="U64" s="468" t="str">
        <f t="shared" si="7"/>
        <v/>
      </c>
      <c r="V64" s="475"/>
      <c r="W64" s="474"/>
      <c r="X64" s="470"/>
      <c r="Y64" s="454"/>
      <c r="Z64" s="454"/>
      <c r="AA64" s="454"/>
      <c r="AB64" s="454"/>
      <c r="AC64" s="454"/>
      <c r="AD64" s="474"/>
      <c r="AE64" s="481"/>
      <c r="AF64" s="579" t="str">
        <f t="shared" si="8"/>
        <v/>
      </c>
      <c r="AG64" s="577" t="str">
        <f t="shared" si="13"/>
        <v/>
      </c>
      <c r="AH64" s="575" t="str">
        <f t="shared" si="9"/>
        <v/>
      </c>
      <c r="AI64" s="239" t="str">
        <f>IF($C64="","",VLOOKUP($AH64,'3-1.標準報酬月額・保険料表'!$N$8:$O$57,2,TRUE))</f>
        <v/>
      </c>
      <c r="AJ64" s="187"/>
      <c r="AK64" s="187"/>
      <c r="AL64" s="239">
        <f t="shared" si="10"/>
        <v>0</v>
      </c>
    </row>
    <row r="65" spans="1:38" s="184" customFormat="1" ht="20.100000000000001" customHeight="1" x14ac:dyDescent="0.15">
      <c r="A65" s="185" t="str">
        <f t="shared" si="5"/>
        <v/>
      </c>
      <c r="B65" s="451"/>
      <c r="C65" s="452"/>
      <c r="D65" s="453"/>
      <c r="E65" s="453"/>
      <c r="F65" s="649"/>
      <c r="G65" s="650"/>
      <c r="H65" s="650"/>
      <c r="I65" s="186" t="str">
        <f t="shared" si="11"/>
        <v/>
      </c>
      <c r="J65" s="186" t="str">
        <f t="shared" si="0"/>
        <v/>
      </c>
      <c r="K65" s="186" t="str">
        <f t="shared" si="1"/>
        <v/>
      </c>
      <c r="L65" s="186" t="str">
        <f t="shared" si="2"/>
        <v/>
      </c>
      <c r="M65" s="454"/>
      <c r="N65" s="455"/>
      <c r="O65" s="236" t="str">
        <f t="shared" si="3"/>
        <v/>
      </c>
      <c r="P65" s="237" t="str">
        <f t="shared" si="4"/>
        <v/>
      </c>
      <c r="Q65" s="456"/>
      <c r="R65" s="456"/>
      <c r="S65" s="456" t="str">
        <f t="shared" si="12"/>
        <v/>
      </c>
      <c r="T65" s="239" t="str">
        <f t="shared" si="6"/>
        <v/>
      </c>
      <c r="U65" s="468" t="str">
        <f t="shared" si="7"/>
        <v/>
      </c>
      <c r="V65" s="475"/>
      <c r="W65" s="474"/>
      <c r="X65" s="470"/>
      <c r="Y65" s="454"/>
      <c r="Z65" s="454"/>
      <c r="AA65" s="454"/>
      <c r="AB65" s="454"/>
      <c r="AC65" s="454"/>
      <c r="AD65" s="474"/>
      <c r="AE65" s="481"/>
      <c r="AF65" s="579" t="str">
        <f t="shared" si="8"/>
        <v/>
      </c>
      <c r="AG65" s="577" t="str">
        <f t="shared" si="13"/>
        <v/>
      </c>
      <c r="AH65" s="575" t="str">
        <f t="shared" si="9"/>
        <v/>
      </c>
      <c r="AI65" s="239" t="str">
        <f>IF($C65="","",VLOOKUP($AH65,'3-1.標準報酬月額・保険料表'!$N$8:$O$57,2,TRUE))</f>
        <v/>
      </c>
      <c r="AJ65" s="187"/>
      <c r="AK65" s="187"/>
      <c r="AL65" s="239">
        <f t="shared" si="10"/>
        <v>0</v>
      </c>
    </row>
    <row r="66" spans="1:38" s="184" customFormat="1" ht="20.100000000000001" customHeight="1" x14ac:dyDescent="0.15">
      <c r="A66" s="185" t="str">
        <f t="shared" si="5"/>
        <v/>
      </c>
      <c r="B66" s="451"/>
      <c r="C66" s="452"/>
      <c r="D66" s="453"/>
      <c r="E66" s="453"/>
      <c r="F66" s="649"/>
      <c r="G66" s="650"/>
      <c r="H66" s="650"/>
      <c r="I66" s="186" t="str">
        <f t="shared" si="11"/>
        <v/>
      </c>
      <c r="J66" s="186" t="str">
        <f t="shared" si="0"/>
        <v/>
      </c>
      <c r="K66" s="186" t="str">
        <f t="shared" si="1"/>
        <v/>
      </c>
      <c r="L66" s="186" t="str">
        <f t="shared" si="2"/>
        <v/>
      </c>
      <c r="M66" s="454"/>
      <c r="N66" s="455"/>
      <c r="O66" s="236" t="str">
        <f t="shared" si="3"/>
        <v/>
      </c>
      <c r="P66" s="237" t="str">
        <f t="shared" si="4"/>
        <v/>
      </c>
      <c r="Q66" s="456"/>
      <c r="R66" s="456"/>
      <c r="S66" s="456" t="str">
        <f t="shared" si="12"/>
        <v/>
      </c>
      <c r="T66" s="239" t="str">
        <f t="shared" si="6"/>
        <v/>
      </c>
      <c r="U66" s="468" t="str">
        <f t="shared" si="7"/>
        <v/>
      </c>
      <c r="V66" s="475"/>
      <c r="W66" s="474"/>
      <c r="X66" s="470"/>
      <c r="Y66" s="454"/>
      <c r="Z66" s="454"/>
      <c r="AA66" s="454"/>
      <c r="AB66" s="454"/>
      <c r="AC66" s="454"/>
      <c r="AD66" s="474"/>
      <c r="AE66" s="481"/>
      <c r="AF66" s="579" t="str">
        <f t="shared" si="8"/>
        <v/>
      </c>
      <c r="AG66" s="577" t="str">
        <f t="shared" si="13"/>
        <v/>
      </c>
      <c r="AH66" s="575" t="str">
        <f t="shared" si="9"/>
        <v/>
      </c>
      <c r="AI66" s="239" t="str">
        <f>IF($C66="","",VLOOKUP($AH66,'3-1.標準報酬月額・保険料表'!$N$8:$O$57,2,TRUE))</f>
        <v/>
      </c>
      <c r="AJ66" s="187"/>
      <c r="AK66" s="187"/>
      <c r="AL66" s="239">
        <f t="shared" si="10"/>
        <v>0</v>
      </c>
    </row>
    <row r="67" spans="1:38" s="184" customFormat="1" ht="20.100000000000001" customHeight="1" x14ac:dyDescent="0.15">
      <c r="A67" s="185" t="str">
        <f t="shared" si="5"/>
        <v/>
      </c>
      <c r="B67" s="451"/>
      <c r="C67" s="452"/>
      <c r="D67" s="453"/>
      <c r="E67" s="453"/>
      <c r="F67" s="649"/>
      <c r="G67" s="650"/>
      <c r="H67" s="650"/>
      <c r="I67" s="186" t="str">
        <f t="shared" si="11"/>
        <v/>
      </c>
      <c r="J67" s="186" t="str">
        <f t="shared" si="0"/>
        <v/>
      </c>
      <c r="K67" s="186" t="str">
        <f t="shared" si="1"/>
        <v/>
      </c>
      <c r="L67" s="186" t="str">
        <f t="shared" si="2"/>
        <v/>
      </c>
      <c r="M67" s="454"/>
      <c r="N67" s="455"/>
      <c r="O67" s="236" t="str">
        <f t="shared" si="3"/>
        <v/>
      </c>
      <c r="P67" s="237" t="str">
        <f t="shared" si="4"/>
        <v/>
      </c>
      <c r="Q67" s="456"/>
      <c r="R67" s="456"/>
      <c r="S67" s="456" t="str">
        <f t="shared" si="12"/>
        <v/>
      </c>
      <c r="T67" s="239" t="str">
        <f t="shared" si="6"/>
        <v/>
      </c>
      <c r="U67" s="468" t="str">
        <f t="shared" si="7"/>
        <v/>
      </c>
      <c r="V67" s="475"/>
      <c r="W67" s="474"/>
      <c r="X67" s="470"/>
      <c r="Y67" s="454"/>
      <c r="Z67" s="454"/>
      <c r="AA67" s="454"/>
      <c r="AB67" s="454"/>
      <c r="AC67" s="454"/>
      <c r="AD67" s="474"/>
      <c r="AE67" s="481"/>
      <c r="AF67" s="579" t="str">
        <f t="shared" si="8"/>
        <v/>
      </c>
      <c r="AG67" s="577" t="str">
        <f t="shared" si="13"/>
        <v/>
      </c>
      <c r="AH67" s="575" t="str">
        <f t="shared" si="9"/>
        <v/>
      </c>
      <c r="AI67" s="239" t="str">
        <f>IF($C67="","",VLOOKUP($AH67,'3-1.標準報酬月額・保険料表'!$N$8:$O$57,2,TRUE))</f>
        <v/>
      </c>
      <c r="AJ67" s="187"/>
      <c r="AK67" s="187"/>
      <c r="AL67" s="239">
        <f t="shared" si="10"/>
        <v>0</v>
      </c>
    </row>
    <row r="68" spans="1:38" s="184" customFormat="1" ht="20.100000000000001" customHeight="1" x14ac:dyDescent="0.15">
      <c r="A68" s="185" t="str">
        <f t="shared" si="5"/>
        <v/>
      </c>
      <c r="B68" s="451"/>
      <c r="C68" s="452"/>
      <c r="D68" s="453"/>
      <c r="E68" s="453"/>
      <c r="F68" s="649"/>
      <c r="G68" s="650"/>
      <c r="H68" s="650"/>
      <c r="I68" s="186" t="str">
        <f t="shared" si="11"/>
        <v/>
      </c>
      <c r="J68" s="186" t="str">
        <f t="shared" si="0"/>
        <v/>
      </c>
      <c r="K68" s="186" t="str">
        <f t="shared" si="1"/>
        <v/>
      </c>
      <c r="L68" s="186" t="str">
        <f t="shared" si="2"/>
        <v/>
      </c>
      <c r="M68" s="454"/>
      <c r="N68" s="455"/>
      <c r="O68" s="236" t="str">
        <f t="shared" si="3"/>
        <v/>
      </c>
      <c r="P68" s="237" t="str">
        <f t="shared" si="4"/>
        <v/>
      </c>
      <c r="Q68" s="456"/>
      <c r="R68" s="456"/>
      <c r="S68" s="456" t="str">
        <f t="shared" si="12"/>
        <v/>
      </c>
      <c r="T68" s="239" t="str">
        <f t="shared" si="6"/>
        <v/>
      </c>
      <c r="U68" s="468" t="str">
        <f t="shared" si="7"/>
        <v/>
      </c>
      <c r="V68" s="475"/>
      <c r="W68" s="474"/>
      <c r="X68" s="470"/>
      <c r="Y68" s="454"/>
      <c r="Z68" s="454"/>
      <c r="AA68" s="454"/>
      <c r="AB68" s="454"/>
      <c r="AC68" s="454"/>
      <c r="AD68" s="474"/>
      <c r="AE68" s="481"/>
      <c r="AF68" s="579" t="str">
        <f t="shared" si="8"/>
        <v/>
      </c>
      <c r="AG68" s="577" t="str">
        <f t="shared" si="13"/>
        <v/>
      </c>
      <c r="AH68" s="575" t="str">
        <f t="shared" si="9"/>
        <v/>
      </c>
      <c r="AI68" s="239" t="str">
        <f>IF($C68="","",VLOOKUP($AH68,'3-1.標準報酬月額・保険料表'!$N$8:$O$57,2,TRUE))</f>
        <v/>
      </c>
      <c r="AJ68" s="187"/>
      <c r="AK68" s="187"/>
      <c r="AL68" s="239">
        <f t="shared" si="10"/>
        <v>0</v>
      </c>
    </row>
    <row r="69" spans="1:38" s="184" customFormat="1" ht="20.100000000000001" customHeight="1" x14ac:dyDescent="0.15">
      <c r="A69" s="185" t="str">
        <f t="shared" si="5"/>
        <v/>
      </c>
      <c r="B69" s="451"/>
      <c r="C69" s="452"/>
      <c r="D69" s="453"/>
      <c r="E69" s="453"/>
      <c r="F69" s="649"/>
      <c r="G69" s="650"/>
      <c r="H69" s="650"/>
      <c r="I69" s="186" t="str">
        <f t="shared" si="11"/>
        <v/>
      </c>
      <c r="J69" s="186" t="str">
        <f t="shared" si="0"/>
        <v/>
      </c>
      <c r="K69" s="186" t="str">
        <f t="shared" si="1"/>
        <v/>
      </c>
      <c r="L69" s="186" t="str">
        <f t="shared" si="2"/>
        <v/>
      </c>
      <c r="M69" s="454"/>
      <c r="N69" s="455"/>
      <c r="O69" s="236" t="str">
        <f t="shared" si="3"/>
        <v/>
      </c>
      <c r="P69" s="237" t="str">
        <f t="shared" si="4"/>
        <v/>
      </c>
      <c r="Q69" s="456"/>
      <c r="R69" s="456"/>
      <c r="S69" s="456" t="str">
        <f t="shared" si="12"/>
        <v/>
      </c>
      <c r="T69" s="239" t="str">
        <f t="shared" si="6"/>
        <v/>
      </c>
      <c r="U69" s="468" t="str">
        <f t="shared" si="7"/>
        <v/>
      </c>
      <c r="V69" s="475"/>
      <c r="W69" s="474"/>
      <c r="X69" s="470"/>
      <c r="Y69" s="454"/>
      <c r="Z69" s="454"/>
      <c r="AA69" s="454"/>
      <c r="AB69" s="454"/>
      <c r="AC69" s="454"/>
      <c r="AD69" s="474"/>
      <c r="AE69" s="481"/>
      <c r="AF69" s="579" t="str">
        <f t="shared" si="8"/>
        <v/>
      </c>
      <c r="AG69" s="577" t="str">
        <f t="shared" si="13"/>
        <v/>
      </c>
      <c r="AH69" s="575" t="str">
        <f t="shared" si="9"/>
        <v/>
      </c>
      <c r="AI69" s="239" t="str">
        <f>IF($C69="","",VLOOKUP($AH69,'3-1.標準報酬月額・保険料表'!$N$8:$O$57,2,TRUE))</f>
        <v/>
      </c>
      <c r="AJ69" s="187"/>
      <c r="AK69" s="187"/>
      <c r="AL69" s="239">
        <f t="shared" si="10"/>
        <v>0</v>
      </c>
    </row>
    <row r="70" spans="1:38" s="184" customFormat="1" ht="20.100000000000001" customHeight="1" x14ac:dyDescent="0.15">
      <c r="A70" s="185" t="str">
        <f t="shared" si="5"/>
        <v/>
      </c>
      <c r="B70" s="451"/>
      <c r="C70" s="452"/>
      <c r="D70" s="453"/>
      <c r="E70" s="453"/>
      <c r="F70" s="649"/>
      <c r="G70" s="650"/>
      <c r="H70" s="650"/>
      <c r="I70" s="186" t="str">
        <f t="shared" si="11"/>
        <v/>
      </c>
      <c r="J70" s="186" t="str">
        <f t="shared" si="0"/>
        <v/>
      </c>
      <c r="K70" s="186" t="str">
        <f t="shared" si="1"/>
        <v/>
      </c>
      <c r="L70" s="186" t="str">
        <f t="shared" si="2"/>
        <v/>
      </c>
      <c r="M70" s="454"/>
      <c r="N70" s="455"/>
      <c r="O70" s="236" t="str">
        <f t="shared" si="3"/>
        <v/>
      </c>
      <c r="P70" s="237" t="str">
        <f t="shared" si="4"/>
        <v/>
      </c>
      <c r="Q70" s="456"/>
      <c r="R70" s="456"/>
      <c r="S70" s="456" t="str">
        <f t="shared" si="12"/>
        <v/>
      </c>
      <c r="T70" s="239" t="str">
        <f t="shared" si="6"/>
        <v/>
      </c>
      <c r="U70" s="468" t="str">
        <f t="shared" si="7"/>
        <v/>
      </c>
      <c r="V70" s="475"/>
      <c r="W70" s="474"/>
      <c r="X70" s="470"/>
      <c r="Y70" s="454"/>
      <c r="Z70" s="454"/>
      <c r="AA70" s="454"/>
      <c r="AB70" s="454"/>
      <c r="AC70" s="454"/>
      <c r="AD70" s="474"/>
      <c r="AE70" s="481"/>
      <c r="AF70" s="579" t="str">
        <f t="shared" si="8"/>
        <v/>
      </c>
      <c r="AG70" s="577" t="str">
        <f t="shared" si="13"/>
        <v/>
      </c>
      <c r="AH70" s="575" t="str">
        <f t="shared" si="9"/>
        <v/>
      </c>
      <c r="AI70" s="239" t="str">
        <f>IF($C70="","",VLOOKUP($AH70,'3-1.標準報酬月額・保険料表'!$N$8:$O$57,2,TRUE))</f>
        <v/>
      </c>
      <c r="AJ70" s="187"/>
      <c r="AK70" s="187"/>
      <c r="AL70" s="239">
        <f t="shared" si="10"/>
        <v>0</v>
      </c>
    </row>
    <row r="71" spans="1:38" s="184" customFormat="1" ht="20.100000000000001" customHeight="1" x14ac:dyDescent="0.15">
      <c r="A71" s="185" t="str">
        <f t="shared" si="5"/>
        <v/>
      </c>
      <c r="B71" s="451"/>
      <c r="C71" s="452"/>
      <c r="D71" s="453"/>
      <c r="E71" s="453"/>
      <c r="F71" s="649"/>
      <c r="G71" s="650"/>
      <c r="H71" s="650"/>
      <c r="I71" s="186" t="str">
        <f t="shared" si="11"/>
        <v/>
      </c>
      <c r="J71" s="186" t="str">
        <f t="shared" si="0"/>
        <v/>
      </c>
      <c r="K71" s="186" t="str">
        <f t="shared" si="1"/>
        <v/>
      </c>
      <c r="L71" s="186" t="str">
        <f t="shared" si="2"/>
        <v/>
      </c>
      <c r="M71" s="454"/>
      <c r="N71" s="455"/>
      <c r="O71" s="236" t="str">
        <f t="shared" si="3"/>
        <v/>
      </c>
      <c r="P71" s="237" t="str">
        <f t="shared" si="4"/>
        <v/>
      </c>
      <c r="Q71" s="456"/>
      <c r="R71" s="456"/>
      <c r="S71" s="456" t="str">
        <f t="shared" si="12"/>
        <v/>
      </c>
      <c r="T71" s="239" t="str">
        <f t="shared" si="6"/>
        <v/>
      </c>
      <c r="U71" s="468" t="str">
        <f t="shared" si="7"/>
        <v/>
      </c>
      <c r="V71" s="475"/>
      <c r="W71" s="474"/>
      <c r="X71" s="470"/>
      <c r="Y71" s="454"/>
      <c r="Z71" s="454"/>
      <c r="AA71" s="454"/>
      <c r="AB71" s="454"/>
      <c r="AC71" s="454"/>
      <c r="AD71" s="474"/>
      <c r="AE71" s="481"/>
      <c r="AF71" s="579" t="str">
        <f t="shared" si="8"/>
        <v/>
      </c>
      <c r="AG71" s="577" t="str">
        <f t="shared" si="13"/>
        <v/>
      </c>
      <c r="AH71" s="575" t="str">
        <f t="shared" si="9"/>
        <v/>
      </c>
      <c r="AI71" s="239" t="str">
        <f>IF($C71="","",VLOOKUP($AH71,'3-1.標準報酬月額・保険料表'!$N$8:$O$57,2,TRUE))</f>
        <v/>
      </c>
      <c r="AJ71" s="187"/>
      <c r="AK71" s="187"/>
      <c r="AL71" s="239">
        <f t="shared" si="10"/>
        <v>0</v>
      </c>
    </row>
    <row r="72" spans="1:38" s="184" customFormat="1" ht="20.100000000000001" customHeight="1" x14ac:dyDescent="0.15">
      <c r="A72" s="185" t="str">
        <f t="shared" si="5"/>
        <v/>
      </c>
      <c r="B72" s="451"/>
      <c r="C72" s="452"/>
      <c r="D72" s="453"/>
      <c r="E72" s="453"/>
      <c r="F72" s="649"/>
      <c r="G72" s="650"/>
      <c r="H72" s="650"/>
      <c r="I72" s="186" t="str">
        <f t="shared" si="11"/>
        <v/>
      </c>
      <c r="J72" s="186" t="str">
        <f t="shared" si="0"/>
        <v/>
      </c>
      <c r="K72" s="186" t="str">
        <f t="shared" si="1"/>
        <v/>
      </c>
      <c r="L72" s="186" t="str">
        <f t="shared" si="2"/>
        <v/>
      </c>
      <c r="M72" s="454"/>
      <c r="N72" s="455"/>
      <c r="O72" s="236" t="str">
        <f t="shared" si="3"/>
        <v/>
      </c>
      <c r="P72" s="237" t="str">
        <f t="shared" si="4"/>
        <v/>
      </c>
      <c r="Q72" s="456"/>
      <c r="R72" s="456"/>
      <c r="S72" s="456" t="str">
        <f t="shared" si="12"/>
        <v/>
      </c>
      <c r="T72" s="239" t="str">
        <f t="shared" si="6"/>
        <v/>
      </c>
      <c r="U72" s="468" t="str">
        <f t="shared" si="7"/>
        <v/>
      </c>
      <c r="V72" s="475"/>
      <c r="W72" s="474"/>
      <c r="X72" s="470"/>
      <c r="Y72" s="454"/>
      <c r="Z72" s="454"/>
      <c r="AA72" s="454"/>
      <c r="AB72" s="454"/>
      <c r="AC72" s="454"/>
      <c r="AD72" s="474"/>
      <c r="AE72" s="481"/>
      <c r="AF72" s="579" t="str">
        <f t="shared" si="8"/>
        <v/>
      </c>
      <c r="AG72" s="577" t="str">
        <f t="shared" si="13"/>
        <v/>
      </c>
      <c r="AH72" s="575" t="str">
        <f t="shared" si="9"/>
        <v/>
      </c>
      <c r="AI72" s="239" t="str">
        <f>IF($C72="","",VLOOKUP($AH72,'3-1.標準報酬月額・保険料表'!$N$8:$O$57,2,TRUE))</f>
        <v/>
      </c>
      <c r="AJ72" s="187"/>
      <c r="AK72" s="187"/>
      <c r="AL72" s="239">
        <f t="shared" si="10"/>
        <v>0</v>
      </c>
    </row>
    <row r="73" spans="1:38" s="184" customFormat="1" ht="20.100000000000001" customHeight="1" x14ac:dyDescent="0.15">
      <c r="A73" s="185" t="str">
        <f t="shared" si="5"/>
        <v/>
      </c>
      <c r="B73" s="451"/>
      <c r="C73" s="452"/>
      <c r="D73" s="453"/>
      <c r="E73" s="453"/>
      <c r="F73" s="649"/>
      <c r="G73" s="650"/>
      <c r="H73" s="650"/>
      <c r="I73" s="186" t="str">
        <f t="shared" si="11"/>
        <v/>
      </c>
      <c r="J73" s="186" t="str">
        <f t="shared" si="0"/>
        <v/>
      </c>
      <c r="K73" s="186" t="str">
        <f t="shared" si="1"/>
        <v/>
      </c>
      <c r="L73" s="186" t="str">
        <f t="shared" si="2"/>
        <v/>
      </c>
      <c r="M73" s="454"/>
      <c r="N73" s="455"/>
      <c r="O73" s="236" t="str">
        <f t="shared" si="3"/>
        <v/>
      </c>
      <c r="P73" s="237" t="str">
        <f t="shared" si="4"/>
        <v/>
      </c>
      <c r="Q73" s="456"/>
      <c r="R73" s="456"/>
      <c r="S73" s="456" t="str">
        <f t="shared" si="12"/>
        <v/>
      </c>
      <c r="T73" s="239" t="str">
        <f t="shared" si="6"/>
        <v/>
      </c>
      <c r="U73" s="468" t="str">
        <f t="shared" si="7"/>
        <v/>
      </c>
      <c r="V73" s="475"/>
      <c r="W73" s="474"/>
      <c r="X73" s="470"/>
      <c r="Y73" s="454"/>
      <c r="Z73" s="454"/>
      <c r="AA73" s="454"/>
      <c r="AB73" s="454"/>
      <c r="AC73" s="454"/>
      <c r="AD73" s="474"/>
      <c r="AE73" s="481"/>
      <c r="AF73" s="579" t="str">
        <f t="shared" si="8"/>
        <v/>
      </c>
      <c r="AG73" s="577" t="str">
        <f t="shared" si="13"/>
        <v/>
      </c>
      <c r="AH73" s="575" t="str">
        <f t="shared" si="9"/>
        <v/>
      </c>
      <c r="AI73" s="239" t="str">
        <f>IF($C73="","",VLOOKUP($AH73,'3-1.標準報酬月額・保険料表'!$N$8:$O$57,2,TRUE))</f>
        <v/>
      </c>
      <c r="AJ73" s="187"/>
      <c r="AK73" s="187"/>
      <c r="AL73" s="239">
        <f t="shared" si="10"/>
        <v>0</v>
      </c>
    </row>
    <row r="74" spans="1:38" s="184" customFormat="1" ht="20.100000000000001" customHeight="1" x14ac:dyDescent="0.15">
      <c r="A74" s="185" t="str">
        <f t="shared" si="5"/>
        <v/>
      </c>
      <c r="B74" s="451"/>
      <c r="C74" s="452"/>
      <c r="D74" s="453"/>
      <c r="E74" s="453"/>
      <c r="F74" s="649"/>
      <c r="G74" s="650"/>
      <c r="H74" s="650"/>
      <c r="I74" s="186" t="str">
        <f t="shared" si="11"/>
        <v/>
      </c>
      <c r="J74" s="186" t="str">
        <f t="shared" ref="J74:J109" si="14">IF(G74="","",DATEDIF(G74-1,$I$4,"YM"))</f>
        <v/>
      </c>
      <c r="K74" s="186" t="str">
        <f t="shared" ref="K74:K109" si="15">IF(H74="","",DATEDIF(H74-1,$I$4,"Y"))</f>
        <v/>
      </c>
      <c r="L74" s="186" t="str">
        <f t="shared" ref="L74:L109" si="16">IF(H74="","",DATEDIF(H74-1,$I$4,"YM"))</f>
        <v/>
      </c>
      <c r="M74" s="454"/>
      <c r="N74" s="455"/>
      <c r="O74" s="236" t="str">
        <f t="shared" si="3"/>
        <v/>
      </c>
      <c r="P74" s="237" t="str">
        <f t="shared" si="4"/>
        <v/>
      </c>
      <c r="Q74" s="456"/>
      <c r="R74" s="456"/>
      <c r="S74" s="456" t="str">
        <f t="shared" si="12"/>
        <v/>
      </c>
      <c r="T74" s="239" t="str">
        <f t="shared" si="6"/>
        <v/>
      </c>
      <c r="U74" s="468" t="str">
        <f t="shared" si="7"/>
        <v/>
      </c>
      <c r="V74" s="475"/>
      <c r="W74" s="474"/>
      <c r="X74" s="470"/>
      <c r="Y74" s="454"/>
      <c r="Z74" s="454"/>
      <c r="AA74" s="454"/>
      <c r="AB74" s="454"/>
      <c r="AC74" s="454"/>
      <c r="AD74" s="474"/>
      <c r="AE74" s="481"/>
      <c r="AF74" s="579" t="str">
        <f t="shared" si="8"/>
        <v/>
      </c>
      <c r="AG74" s="577" t="str">
        <f t="shared" si="13"/>
        <v/>
      </c>
      <c r="AH74" s="575" t="str">
        <f t="shared" si="9"/>
        <v/>
      </c>
      <c r="AI74" s="239" t="str">
        <f>IF($C74="","",VLOOKUP($AH74,'3-1.標準報酬月額・保険料表'!$N$8:$O$57,2,TRUE))</f>
        <v/>
      </c>
      <c r="AJ74" s="187"/>
      <c r="AK74" s="187"/>
      <c r="AL74" s="239">
        <f t="shared" ref="AL74:AL109" si="17">IF($AJ74+$AK74=0,0,AJ74+$AK74)</f>
        <v>0</v>
      </c>
    </row>
    <row r="75" spans="1:38" s="184" customFormat="1" ht="20.100000000000001" customHeight="1" x14ac:dyDescent="0.15">
      <c r="A75" s="185" t="str">
        <f t="shared" ref="A75:A109" si="18">IF(D75="","",A74+1)</f>
        <v/>
      </c>
      <c r="B75" s="451"/>
      <c r="C75" s="452"/>
      <c r="D75" s="453"/>
      <c r="E75" s="453"/>
      <c r="F75" s="649"/>
      <c r="G75" s="650"/>
      <c r="H75" s="650"/>
      <c r="I75" s="186" t="str">
        <f t="shared" si="11"/>
        <v/>
      </c>
      <c r="J75" s="186" t="str">
        <f t="shared" si="14"/>
        <v/>
      </c>
      <c r="K75" s="186" t="str">
        <f t="shared" si="15"/>
        <v/>
      </c>
      <c r="L75" s="186" t="str">
        <f t="shared" si="16"/>
        <v/>
      </c>
      <c r="M75" s="454"/>
      <c r="N75" s="455"/>
      <c r="O75" s="236" t="str">
        <f t="shared" ref="O75:O109" si="19">IF($C75="","",$M75*$N75)</f>
        <v/>
      </c>
      <c r="P75" s="237" t="str">
        <f t="shared" ref="P75:P109" si="20">IF($O75="","",365/7*$O75)</f>
        <v/>
      </c>
      <c r="Q75" s="456"/>
      <c r="R75" s="456"/>
      <c r="S75" s="456" t="str">
        <f t="shared" ref="S75:S109" si="21">IF($Q75="","",$Q75+$R75)</f>
        <v/>
      </c>
      <c r="T75" s="239" t="str">
        <f t="shared" ref="T75:T109" si="22">IF($Q75="","",$P75*$Q75)</f>
        <v/>
      </c>
      <c r="U75" s="468" t="str">
        <f t="shared" ref="U75:U109" si="23">IF($Q75="","",$T75/12)</f>
        <v/>
      </c>
      <c r="V75" s="475"/>
      <c r="W75" s="474"/>
      <c r="X75" s="470"/>
      <c r="Y75" s="454"/>
      <c r="Z75" s="454"/>
      <c r="AA75" s="454"/>
      <c r="AB75" s="454"/>
      <c r="AC75" s="454"/>
      <c r="AD75" s="474"/>
      <c r="AE75" s="481"/>
      <c r="AF75" s="579" t="str">
        <f t="shared" ref="AF75:AF109" si="24">IF($Q75="","",SUM($U75:$W75))</f>
        <v/>
      </c>
      <c r="AG75" s="577" t="str">
        <f t="shared" ref="AG75:AG109" si="25">IF($Q75="","",SUM($U75:$AD75))</f>
        <v/>
      </c>
      <c r="AH75" s="575" t="str">
        <f t="shared" ref="AH75:AH109" si="26">IF($Q75="","",SUM($U75:$AE75))</f>
        <v/>
      </c>
      <c r="AI75" s="239" t="str">
        <f>IF($C75="","",VLOOKUP($AH75,'3-1.標準報酬月額・保険料表'!$N$8:$O$57,2,TRUE))</f>
        <v/>
      </c>
      <c r="AJ75" s="187"/>
      <c r="AK75" s="187"/>
      <c r="AL75" s="239">
        <f t="shared" si="17"/>
        <v>0</v>
      </c>
    </row>
    <row r="76" spans="1:38" s="184" customFormat="1" ht="20.100000000000001" customHeight="1" x14ac:dyDescent="0.15">
      <c r="A76" s="185" t="str">
        <f t="shared" si="18"/>
        <v/>
      </c>
      <c r="B76" s="451"/>
      <c r="C76" s="452"/>
      <c r="D76" s="453"/>
      <c r="E76" s="453"/>
      <c r="F76" s="649"/>
      <c r="G76" s="650"/>
      <c r="H76" s="650"/>
      <c r="I76" s="186" t="str">
        <f t="shared" ref="I76:I109" si="27">IF(G76="","",DATEDIF(G76-1,$I$4,"Y"))</f>
        <v/>
      </c>
      <c r="J76" s="186" t="str">
        <f t="shared" si="14"/>
        <v/>
      </c>
      <c r="K76" s="186" t="str">
        <f t="shared" si="15"/>
        <v/>
      </c>
      <c r="L76" s="186" t="str">
        <f t="shared" si="16"/>
        <v/>
      </c>
      <c r="M76" s="454"/>
      <c r="N76" s="455"/>
      <c r="O76" s="236" t="str">
        <f t="shared" si="19"/>
        <v/>
      </c>
      <c r="P76" s="237" t="str">
        <f t="shared" si="20"/>
        <v/>
      </c>
      <c r="Q76" s="456"/>
      <c r="R76" s="456"/>
      <c r="S76" s="456" t="str">
        <f t="shared" si="21"/>
        <v/>
      </c>
      <c r="T76" s="239" t="str">
        <f t="shared" si="22"/>
        <v/>
      </c>
      <c r="U76" s="468" t="str">
        <f t="shared" si="23"/>
        <v/>
      </c>
      <c r="V76" s="475"/>
      <c r="W76" s="474"/>
      <c r="X76" s="470"/>
      <c r="Y76" s="454"/>
      <c r="Z76" s="454"/>
      <c r="AA76" s="454"/>
      <c r="AB76" s="454"/>
      <c r="AC76" s="454"/>
      <c r="AD76" s="474"/>
      <c r="AE76" s="481"/>
      <c r="AF76" s="579" t="str">
        <f t="shared" si="24"/>
        <v/>
      </c>
      <c r="AG76" s="577" t="str">
        <f t="shared" si="25"/>
        <v/>
      </c>
      <c r="AH76" s="575" t="str">
        <f t="shared" si="26"/>
        <v/>
      </c>
      <c r="AI76" s="239" t="str">
        <f>IF($C76="","",VLOOKUP($AH76,'3-1.標準報酬月額・保険料表'!$N$8:$O$57,2,TRUE))</f>
        <v/>
      </c>
      <c r="AJ76" s="187"/>
      <c r="AK76" s="187"/>
      <c r="AL76" s="239">
        <f t="shared" si="17"/>
        <v>0</v>
      </c>
    </row>
    <row r="77" spans="1:38" s="184" customFormat="1" ht="20.100000000000001" customHeight="1" x14ac:dyDescent="0.15">
      <c r="A77" s="185" t="str">
        <f t="shared" si="18"/>
        <v/>
      </c>
      <c r="B77" s="451"/>
      <c r="C77" s="452"/>
      <c r="D77" s="453"/>
      <c r="E77" s="453"/>
      <c r="F77" s="649"/>
      <c r="G77" s="650"/>
      <c r="H77" s="650"/>
      <c r="I77" s="186" t="str">
        <f t="shared" si="27"/>
        <v/>
      </c>
      <c r="J77" s="186" t="str">
        <f t="shared" si="14"/>
        <v/>
      </c>
      <c r="K77" s="186" t="str">
        <f t="shared" si="15"/>
        <v/>
      </c>
      <c r="L77" s="186" t="str">
        <f t="shared" si="16"/>
        <v/>
      </c>
      <c r="M77" s="454"/>
      <c r="N77" s="455"/>
      <c r="O77" s="236" t="str">
        <f t="shared" si="19"/>
        <v/>
      </c>
      <c r="P77" s="237" t="str">
        <f t="shared" si="20"/>
        <v/>
      </c>
      <c r="Q77" s="456"/>
      <c r="R77" s="456"/>
      <c r="S77" s="456" t="str">
        <f t="shared" si="21"/>
        <v/>
      </c>
      <c r="T77" s="239" t="str">
        <f t="shared" si="22"/>
        <v/>
      </c>
      <c r="U77" s="468" t="str">
        <f t="shared" si="23"/>
        <v/>
      </c>
      <c r="V77" s="475"/>
      <c r="W77" s="474"/>
      <c r="X77" s="470"/>
      <c r="Y77" s="454"/>
      <c r="Z77" s="454"/>
      <c r="AA77" s="454"/>
      <c r="AB77" s="454"/>
      <c r="AC77" s="454"/>
      <c r="AD77" s="474"/>
      <c r="AE77" s="481"/>
      <c r="AF77" s="579" t="str">
        <f t="shared" si="24"/>
        <v/>
      </c>
      <c r="AG77" s="577" t="str">
        <f t="shared" si="25"/>
        <v/>
      </c>
      <c r="AH77" s="575" t="str">
        <f t="shared" si="26"/>
        <v/>
      </c>
      <c r="AI77" s="239" t="str">
        <f>IF($C77="","",VLOOKUP($AH77,'3-1.標準報酬月額・保険料表'!$N$8:$O$57,2,TRUE))</f>
        <v/>
      </c>
      <c r="AJ77" s="187"/>
      <c r="AK77" s="187"/>
      <c r="AL77" s="239">
        <f t="shared" si="17"/>
        <v>0</v>
      </c>
    </row>
    <row r="78" spans="1:38" s="184" customFormat="1" ht="20.100000000000001" customHeight="1" x14ac:dyDescent="0.15">
      <c r="A78" s="185" t="str">
        <f t="shared" si="18"/>
        <v/>
      </c>
      <c r="B78" s="451"/>
      <c r="C78" s="452"/>
      <c r="D78" s="453"/>
      <c r="E78" s="453"/>
      <c r="F78" s="649"/>
      <c r="G78" s="650"/>
      <c r="H78" s="650"/>
      <c r="I78" s="186" t="str">
        <f t="shared" si="27"/>
        <v/>
      </c>
      <c r="J78" s="186" t="str">
        <f t="shared" si="14"/>
        <v/>
      </c>
      <c r="K78" s="186" t="str">
        <f t="shared" si="15"/>
        <v/>
      </c>
      <c r="L78" s="186" t="str">
        <f t="shared" si="16"/>
        <v/>
      </c>
      <c r="M78" s="454"/>
      <c r="N78" s="455"/>
      <c r="O78" s="236" t="str">
        <f t="shared" si="19"/>
        <v/>
      </c>
      <c r="P78" s="237" t="str">
        <f t="shared" si="20"/>
        <v/>
      </c>
      <c r="Q78" s="456"/>
      <c r="R78" s="456"/>
      <c r="S78" s="456" t="str">
        <f t="shared" si="21"/>
        <v/>
      </c>
      <c r="T78" s="239" t="str">
        <f t="shared" si="22"/>
        <v/>
      </c>
      <c r="U78" s="468" t="str">
        <f t="shared" si="23"/>
        <v/>
      </c>
      <c r="V78" s="475"/>
      <c r="W78" s="474"/>
      <c r="X78" s="470"/>
      <c r="Y78" s="454"/>
      <c r="Z78" s="454"/>
      <c r="AA78" s="454"/>
      <c r="AB78" s="454"/>
      <c r="AC78" s="454"/>
      <c r="AD78" s="474"/>
      <c r="AE78" s="481"/>
      <c r="AF78" s="579" t="str">
        <f t="shared" si="24"/>
        <v/>
      </c>
      <c r="AG78" s="577" t="str">
        <f t="shared" si="25"/>
        <v/>
      </c>
      <c r="AH78" s="575" t="str">
        <f t="shared" si="26"/>
        <v/>
      </c>
      <c r="AI78" s="239" t="str">
        <f>IF($C78="","",VLOOKUP($AH78,'3-1.標準報酬月額・保険料表'!$N$8:$O$57,2,TRUE))</f>
        <v/>
      </c>
      <c r="AJ78" s="187"/>
      <c r="AK78" s="187"/>
      <c r="AL78" s="239">
        <f t="shared" si="17"/>
        <v>0</v>
      </c>
    </row>
    <row r="79" spans="1:38" s="184" customFormat="1" ht="20.100000000000001" customHeight="1" x14ac:dyDescent="0.15">
      <c r="A79" s="185" t="str">
        <f t="shared" si="18"/>
        <v/>
      </c>
      <c r="B79" s="451"/>
      <c r="C79" s="452"/>
      <c r="D79" s="453"/>
      <c r="E79" s="453"/>
      <c r="F79" s="649"/>
      <c r="G79" s="650"/>
      <c r="H79" s="650"/>
      <c r="I79" s="186" t="str">
        <f t="shared" si="27"/>
        <v/>
      </c>
      <c r="J79" s="186" t="str">
        <f t="shared" si="14"/>
        <v/>
      </c>
      <c r="K79" s="186" t="str">
        <f t="shared" si="15"/>
        <v/>
      </c>
      <c r="L79" s="186" t="str">
        <f t="shared" si="16"/>
        <v/>
      </c>
      <c r="M79" s="454"/>
      <c r="N79" s="455"/>
      <c r="O79" s="236" t="str">
        <f t="shared" si="19"/>
        <v/>
      </c>
      <c r="P79" s="237" t="str">
        <f t="shared" si="20"/>
        <v/>
      </c>
      <c r="Q79" s="456"/>
      <c r="R79" s="456"/>
      <c r="S79" s="456" t="str">
        <f t="shared" si="21"/>
        <v/>
      </c>
      <c r="T79" s="239" t="str">
        <f t="shared" si="22"/>
        <v/>
      </c>
      <c r="U79" s="468" t="str">
        <f t="shared" si="23"/>
        <v/>
      </c>
      <c r="V79" s="475"/>
      <c r="W79" s="474"/>
      <c r="X79" s="470"/>
      <c r="Y79" s="454"/>
      <c r="Z79" s="454"/>
      <c r="AA79" s="454"/>
      <c r="AB79" s="454"/>
      <c r="AC79" s="454"/>
      <c r="AD79" s="474"/>
      <c r="AE79" s="481"/>
      <c r="AF79" s="579" t="str">
        <f t="shared" si="24"/>
        <v/>
      </c>
      <c r="AG79" s="577" t="str">
        <f t="shared" si="25"/>
        <v/>
      </c>
      <c r="AH79" s="575" t="str">
        <f t="shared" si="26"/>
        <v/>
      </c>
      <c r="AI79" s="239" t="str">
        <f>IF($C79="","",VLOOKUP($AH79,'3-1.標準報酬月額・保険料表'!$N$8:$O$57,2,TRUE))</f>
        <v/>
      </c>
      <c r="AJ79" s="187"/>
      <c r="AK79" s="187"/>
      <c r="AL79" s="239">
        <f t="shared" si="17"/>
        <v>0</v>
      </c>
    </row>
    <row r="80" spans="1:38" s="184" customFormat="1" ht="20.100000000000001" customHeight="1" x14ac:dyDescent="0.15">
      <c r="A80" s="185" t="str">
        <f t="shared" si="18"/>
        <v/>
      </c>
      <c r="B80" s="451"/>
      <c r="C80" s="452"/>
      <c r="D80" s="453"/>
      <c r="E80" s="453"/>
      <c r="F80" s="649"/>
      <c r="G80" s="650"/>
      <c r="H80" s="650"/>
      <c r="I80" s="186" t="str">
        <f t="shared" si="27"/>
        <v/>
      </c>
      <c r="J80" s="186" t="str">
        <f t="shared" si="14"/>
        <v/>
      </c>
      <c r="K80" s="186" t="str">
        <f t="shared" si="15"/>
        <v/>
      </c>
      <c r="L80" s="186" t="str">
        <f t="shared" si="16"/>
        <v/>
      </c>
      <c r="M80" s="454"/>
      <c r="N80" s="455"/>
      <c r="O80" s="236" t="str">
        <f t="shared" si="19"/>
        <v/>
      </c>
      <c r="P80" s="237" t="str">
        <f t="shared" si="20"/>
        <v/>
      </c>
      <c r="Q80" s="456"/>
      <c r="R80" s="456"/>
      <c r="S80" s="456" t="str">
        <f t="shared" si="21"/>
        <v/>
      </c>
      <c r="T80" s="239" t="str">
        <f t="shared" si="22"/>
        <v/>
      </c>
      <c r="U80" s="468" t="str">
        <f t="shared" si="23"/>
        <v/>
      </c>
      <c r="V80" s="475"/>
      <c r="W80" s="474"/>
      <c r="X80" s="470"/>
      <c r="Y80" s="454"/>
      <c r="Z80" s="454"/>
      <c r="AA80" s="454"/>
      <c r="AB80" s="454"/>
      <c r="AC80" s="454"/>
      <c r="AD80" s="474"/>
      <c r="AE80" s="481"/>
      <c r="AF80" s="579" t="str">
        <f t="shared" si="24"/>
        <v/>
      </c>
      <c r="AG80" s="577" t="str">
        <f t="shared" si="25"/>
        <v/>
      </c>
      <c r="AH80" s="575" t="str">
        <f t="shared" si="26"/>
        <v/>
      </c>
      <c r="AI80" s="239" t="str">
        <f>IF($C80="","",VLOOKUP($AH80,'3-1.標準報酬月額・保険料表'!$N$8:$O$57,2,TRUE))</f>
        <v/>
      </c>
      <c r="AJ80" s="187"/>
      <c r="AK80" s="187"/>
      <c r="AL80" s="239">
        <f t="shared" si="17"/>
        <v>0</v>
      </c>
    </row>
    <row r="81" spans="1:38" s="184" customFormat="1" ht="20.100000000000001" customHeight="1" x14ac:dyDescent="0.15">
      <c r="A81" s="185" t="str">
        <f t="shared" si="18"/>
        <v/>
      </c>
      <c r="B81" s="451"/>
      <c r="C81" s="452"/>
      <c r="D81" s="453"/>
      <c r="E81" s="453"/>
      <c r="F81" s="649"/>
      <c r="G81" s="650"/>
      <c r="H81" s="650"/>
      <c r="I81" s="186" t="str">
        <f t="shared" si="27"/>
        <v/>
      </c>
      <c r="J81" s="186" t="str">
        <f t="shared" si="14"/>
        <v/>
      </c>
      <c r="K81" s="186" t="str">
        <f t="shared" si="15"/>
        <v/>
      </c>
      <c r="L81" s="186" t="str">
        <f t="shared" si="16"/>
        <v/>
      </c>
      <c r="M81" s="454"/>
      <c r="N81" s="455"/>
      <c r="O81" s="236" t="str">
        <f t="shared" si="19"/>
        <v/>
      </c>
      <c r="P81" s="237" t="str">
        <f t="shared" si="20"/>
        <v/>
      </c>
      <c r="Q81" s="456"/>
      <c r="R81" s="456"/>
      <c r="S81" s="456" t="str">
        <f t="shared" si="21"/>
        <v/>
      </c>
      <c r="T81" s="239" t="str">
        <f t="shared" si="22"/>
        <v/>
      </c>
      <c r="U81" s="468" t="str">
        <f t="shared" si="23"/>
        <v/>
      </c>
      <c r="V81" s="475"/>
      <c r="W81" s="474"/>
      <c r="X81" s="470"/>
      <c r="Y81" s="454"/>
      <c r="Z81" s="454"/>
      <c r="AA81" s="454"/>
      <c r="AB81" s="454"/>
      <c r="AC81" s="454"/>
      <c r="AD81" s="474"/>
      <c r="AE81" s="481"/>
      <c r="AF81" s="579" t="str">
        <f t="shared" si="24"/>
        <v/>
      </c>
      <c r="AG81" s="577" t="str">
        <f t="shared" si="25"/>
        <v/>
      </c>
      <c r="AH81" s="575" t="str">
        <f t="shared" si="26"/>
        <v/>
      </c>
      <c r="AI81" s="239" t="str">
        <f>IF($C81="","",VLOOKUP($AH81,'3-1.標準報酬月額・保険料表'!$N$8:$O$57,2,TRUE))</f>
        <v/>
      </c>
      <c r="AJ81" s="187"/>
      <c r="AK81" s="187"/>
      <c r="AL81" s="239">
        <f t="shared" si="17"/>
        <v>0</v>
      </c>
    </row>
    <row r="82" spans="1:38" s="184" customFormat="1" ht="20.100000000000001" customHeight="1" x14ac:dyDescent="0.15">
      <c r="A82" s="185" t="str">
        <f t="shared" si="18"/>
        <v/>
      </c>
      <c r="B82" s="451"/>
      <c r="C82" s="452"/>
      <c r="D82" s="453"/>
      <c r="E82" s="453"/>
      <c r="F82" s="649"/>
      <c r="G82" s="650"/>
      <c r="H82" s="650"/>
      <c r="I82" s="186" t="str">
        <f t="shared" si="27"/>
        <v/>
      </c>
      <c r="J82" s="186" t="str">
        <f t="shared" si="14"/>
        <v/>
      </c>
      <c r="K82" s="186" t="str">
        <f t="shared" si="15"/>
        <v/>
      </c>
      <c r="L82" s="186" t="str">
        <f t="shared" si="16"/>
        <v/>
      </c>
      <c r="M82" s="454"/>
      <c r="N82" s="455"/>
      <c r="O82" s="236" t="str">
        <f t="shared" si="19"/>
        <v/>
      </c>
      <c r="P82" s="237" t="str">
        <f t="shared" si="20"/>
        <v/>
      </c>
      <c r="Q82" s="456"/>
      <c r="R82" s="456"/>
      <c r="S82" s="456" t="str">
        <f t="shared" si="21"/>
        <v/>
      </c>
      <c r="T82" s="239" t="str">
        <f t="shared" si="22"/>
        <v/>
      </c>
      <c r="U82" s="468" t="str">
        <f t="shared" si="23"/>
        <v/>
      </c>
      <c r="V82" s="475"/>
      <c r="W82" s="474"/>
      <c r="X82" s="470"/>
      <c r="Y82" s="454"/>
      <c r="Z82" s="454"/>
      <c r="AA82" s="454"/>
      <c r="AB82" s="454"/>
      <c r="AC82" s="454"/>
      <c r="AD82" s="474"/>
      <c r="AE82" s="481"/>
      <c r="AF82" s="579" t="str">
        <f t="shared" si="24"/>
        <v/>
      </c>
      <c r="AG82" s="577" t="str">
        <f t="shared" si="25"/>
        <v/>
      </c>
      <c r="AH82" s="575" t="str">
        <f t="shared" si="26"/>
        <v/>
      </c>
      <c r="AI82" s="239" t="str">
        <f>IF($C82="","",VLOOKUP($AH82,'3-1.標準報酬月額・保険料表'!$N$8:$O$57,2,TRUE))</f>
        <v/>
      </c>
      <c r="AJ82" s="187"/>
      <c r="AK82" s="187"/>
      <c r="AL82" s="239">
        <f t="shared" si="17"/>
        <v>0</v>
      </c>
    </row>
    <row r="83" spans="1:38" s="184" customFormat="1" ht="20.100000000000001" customHeight="1" x14ac:dyDescent="0.15">
      <c r="A83" s="185" t="str">
        <f t="shared" si="18"/>
        <v/>
      </c>
      <c r="B83" s="451"/>
      <c r="C83" s="452"/>
      <c r="D83" s="453"/>
      <c r="E83" s="453"/>
      <c r="F83" s="649"/>
      <c r="G83" s="650"/>
      <c r="H83" s="650"/>
      <c r="I83" s="186" t="str">
        <f t="shared" si="27"/>
        <v/>
      </c>
      <c r="J83" s="186" t="str">
        <f t="shared" si="14"/>
        <v/>
      </c>
      <c r="K83" s="186" t="str">
        <f t="shared" si="15"/>
        <v/>
      </c>
      <c r="L83" s="186" t="str">
        <f t="shared" si="16"/>
        <v/>
      </c>
      <c r="M83" s="454"/>
      <c r="N83" s="455"/>
      <c r="O83" s="236" t="str">
        <f t="shared" si="19"/>
        <v/>
      </c>
      <c r="P83" s="237" t="str">
        <f t="shared" si="20"/>
        <v/>
      </c>
      <c r="Q83" s="456"/>
      <c r="R83" s="456"/>
      <c r="S83" s="456" t="str">
        <f t="shared" si="21"/>
        <v/>
      </c>
      <c r="T83" s="239" t="str">
        <f t="shared" si="22"/>
        <v/>
      </c>
      <c r="U83" s="468" t="str">
        <f t="shared" si="23"/>
        <v/>
      </c>
      <c r="V83" s="475"/>
      <c r="W83" s="474"/>
      <c r="X83" s="470"/>
      <c r="Y83" s="454"/>
      <c r="Z83" s="454"/>
      <c r="AA83" s="454"/>
      <c r="AB83" s="454"/>
      <c r="AC83" s="454"/>
      <c r="AD83" s="474"/>
      <c r="AE83" s="481"/>
      <c r="AF83" s="579" t="str">
        <f t="shared" si="24"/>
        <v/>
      </c>
      <c r="AG83" s="577" t="str">
        <f t="shared" si="25"/>
        <v/>
      </c>
      <c r="AH83" s="575" t="str">
        <f t="shared" si="26"/>
        <v/>
      </c>
      <c r="AI83" s="239" t="str">
        <f>IF($C83="","",VLOOKUP($AH83,'3-1.標準報酬月額・保険料表'!$N$8:$O$57,2,TRUE))</f>
        <v/>
      </c>
      <c r="AJ83" s="187"/>
      <c r="AK83" s="187"/>
      <c r="AL83" s="239">
        <f t="shared" si="17"/>
        <v>0</v>
      </c>
    </row>
    <row r="84" spans="1:38" s="184" customFormat="1" ht="20.100000000000001" customHeight="1" x14ac:dyDescent="0.15">
      <c r="A84" s="185" t="str">
        <f t="shared" si="18"/>
        <v/>
      </c>
      <c r="B84" s="451"/>
      <c r="C84" s="452"/>
      <c r="D84" s="453"/>
      <c r="E84" s="453"/>
      <c r="F84" s="649"/>
      <c r="G84" s="650"/>
      <c r="H84" s="650"/>
      <c r="I84" s="186" t="str">
        <f t="shared" si="27"/>
        <v/>
      </c>
      <c r="J84" s="186" t="str">
        <f t="shared" si="14"/>
        <v/>
      </c>
      <c r="K84" s="186" t="str">
        <f t="shared" si="15"/>
        <v/>
      </c>
      <c r="L84" s="186" t="str">
        <f t="shared" si="16"/>
        <v/>
      </c>
      <c r="M84" s="454"/>
      <c r="N84" s="455"/>
      <c r="O84" s="236" t="str">
        <f t="shared" si="19"/>
        <v/>
      </c>
      <c r="P84" s="237" t="str">
        <f t="shared" si="20"/>
        <v/>
      </c>
      <c r="Q84" s="456"/>
      <c r="R84" s="456"/>
      <c r="S84" s="456" t="str">
        <f t="shared" si="21"/>
        <v/>
      </c>
      <c r="T84" s="239" t="str">
        <f t="shared" si="22"/>
        <v/>
      </c>
      <c r="U84" s="468" t="str">
        <f t="shared" si="23"/>
        <v/>
      </c>
      <c r="V84" s="475"/>
      <c r="W84" s="474"/>
      <c r="X84" s="470"/>
      <c r="Y84" s="454"/>
      <c r="Z84" s="454"/>
      <c r="AA84" s="454"/>
      <c r="AB84" s="454"/>
      <c r="AC84" s="454"/>
      <c r="AD84" s="474"/>
      <c r="AE84" s="481"/>
      <c r="AF84" s="579" t="str">
        <f t="shared" si="24"/>
        <v/>
      </c>
      <c r="AG84" s="577" t="str">
        <f t="shared" si="25"/>
        <v/>
      </c>
      <c r="AH84" s="575" t="str">
        <f t="shared" si="26"/>
        <v/>
      </c>
      <c r="AI84" s="239" t="str">
        <f>IF($C84="","",VLOOKUP($AH84,'3-1.標準報酬月額・保険料表'!$N$8:$O$57,2,TRUE))</f>
        <v/>
      </c>
      <c r="AJ84" s="187"/>
      <c r="AK84" s="187"/>
      <c r="AL84" s="239">
        <f t="shared" si="17"/>
        <v>0</v>
      </c>
    </row>
    <row r="85" spans="1:38" s="184" customFormat="1" ht="20.100000000000001" customHeight="1" x14ac:dyDescent="0.15">
      <c r="A85" s="185" t="str">
        <f t="shared" si="18"/>
        <v/>
      </c>
      <c r="B85" s="451"/>
      <c r="C85" s="452"/>
      <c r="D85" s="453"/>
      <c r="E85" s="453"/>
      <c r="F85" s="649"/>
      <c r="G85" s="650"/>
      <c r="H85" s="650"/>
      <c r="I85" s="186" t="str">
        <f t="shared" si="27"/>
        <v/>
      </c>
      <c r="J85" s="186" t="str">
        <f t="shared" si="14"/>
        <v/>
      </c>
      <c r="K85" s="186" t="str">
        <f t="shared" si="15"/>
        <v/>
      </c>
      <c r="L85" s="186" t="str">
        <f t="shared" si="16"/>
        <v/>
      </c>
      <c r="M85" s="454"/>
      <c r="N85" s="455"/>
      <c r="O85" s="236" t="str">
        <f t="shared" si="19"/>
        <v/>
      </c>
      <c r="P85" s="237" t="str">
        <f t="shared" si="20"/>
        <v/>
      </c>
      <c r="Q85" s="456"/>
      <c r="R85" s="456"/>
      <c r="S85" s="456" t="str">
        <f t="shared" si="21"/>
        <v/>
      </c>
      <c r="T85" s="239" t="str">
        <f t="shared" si="22"/>
        <v/>
      </c>
      <c r="U85" s="468" t="str">
        <f t="shared" si="23"/>
        <v/>
      </c>
      <c r="V85" s="475"/>
      <c r="W85" s="474"/>
      <c r="X85" s="470"/>
      <c r="Y85" s="454"/>
      <c r="Z85" s="454"/>
      <c r="AA85" s="454"/>
      <c r="AB85" s="454"/>
      <c r="AC85" s="454"/>
      <c r="AD85" s="474"/>
      <c r="AE85" s="481"/>
      <c r="AF85" s="579" t="str">
        <f t="shared" si="24"/>
        <v/>
      </c>
      <c r="AG85" s="577" t="str">
        <f t="shared" si="25"/>
        <v/>
      </c>
      <c r="AH85" s="575" t="str">
        <f t="shared" si="26"/>
        <v/>
      </c>
      <c r="AI85" s="239" t="str">
        <f>IF($C85="","",VLOOKUP($AH85,'3-1.標準報酬月額・保険料表'!$N$8:$O$57,2,TRUE))</f>
        <v/>
      </c>
      <c r="AJ85" s="187"/>
      <c r="AK85" s="187"/>
      <c r="AL85" s="239">
        <f t="shared" si="17"/>
        <v>0</v>
      </c>
    </row>
    <row r="86" spans="1:38" s="184" customFormat="1" ht="20.100000000000001" customHeight="1" x14ac:dyDescent="0.15">
      <c r="A86" s="185" t="str">
        <f t="shared" si="18"/>
        <v/>
      </c>
      <c r="B86" s="451"/>
      <c r="C86" s="452"/>
      <c r="D86" s="453"/>
      <c r="E86" s="453"/>
      <c r="F86" s="649"/>
      <c r="G86" s="650"/>
      <c r="H86" s="650"/>
      <c r="I86" s="186" t="str">
        <f t="shared" si="27"/>
        <v/>
      </c>
      <c r="J86" s="186" t="str">
        <f t="shared" si="14"/>
        <v/>
      </c>
      <c r="K86" s="186" t="str">
        <f t="shared" si="15"/>
        <v/>
      </c>
      <c r="L86" s="186" t="str">
        <f t="shared" si="16"/>
        <v/>
      </c>
      <c r="M86" s="454"/>
      <c r="N86" s="455"/>
      <c r="O86" s="236" t="str">
        <f t="shared" si="19"/>
        <v/>
      </c>
      <c r="P86" s="237" t="str">
        <f t="shared" si="20"/>
        <v/>
      </c>
      <c r="Q86" s="456"/>
      <c r="R86" s="456"/>
      <c r="S86" s="456" t="str">
        <f t="shared" si="21"/>
        <v/>
      </c>
      <c r="T86" s="239" t="str">
        <f t="shared" si="22"/>
        <v/>
      </c>
      <c r="U86" s="468" t="str">
        <f t="shared" si="23"/>
        <v/>
      </c>
      <c r="V86" s="475"/>
      <c r="W86" s="474"/>
      <c r="X86" s="470"/>
      <c r="Y86" s="454"/>
      <c r="Z86" s="454"/>
      <c r="AA86" s="454"/>
      <c r="AB86" s="454"/>
      <c r="AC86" s="454"/>
      <c r="AD86" s="474"/>
      <c r="AE86" s="481"/>
      <c r="AF86" s="579" t="str">
        <f t="shared" si="24"/>
        <v/>
      </c>
      <c r="AG86" s="577" t="str">
        <f t="shared" si="25"/>
        <v/>
      </c>
      <c r="AH86" s="575" t="str">
        <f t="shared" si="26"/>
        <v/>
      </c>
      <c r="AI86" s="239" t="str">
        <f>IF($C86="","",VLOOKUP($AH86,'3-1.標準報酬月額・保険料表'!$N$8:$O$57,2,TRUE))</f>
        <v/>
      </c>
      <c r="AJ86" s="187"/>
      <c r="AK86" s="187"/>
      <c r="AL86" s="239">
        <f t="shared" si="17"/>
        <v>0</v>
      </c>
    </row>
    <row r="87" spans="1:38" s="184" customFormat="1" ht="20.100000000000001" customHeight="1" x14ac:dyDescent="0.15">
      <c r="A87" s="185" t="str">
        <f t="shared" si="18"/>
        <v/>
      </c>
      <c r="B87" s="451"/>
      <c r="C87" s="452"/>
      <c r="D87" s="453"/>
      <c r="E87" s="453"/>
      <c r="F87" s="649"/>
      <c r="G87" s="650"/>
      <c r="H87" s="650"/>
      <c r="I87" s="186" t="str">
        <f t="shared" si="27"/>
        <v/>
      </c>
      <c r="J87" s="186" t="str">
        <f t="shared" si="14"/>
        <v/>
      </c>
      <c r="K87" s="186" t="str">
        <f t="shared" si="15"/>
        <v/>
      </c>
      <c r="L87" s="186" t="str">
        <f t="shared" si="16"/>
        <v/>
      </c>
      <c r="M87" s="454"/>
      <c r="N87" s="455"/>
      <c r="O87" s="236" t="str">
        <f t="shared" si="19"/>
        <v/>
      </c>
      <c r="P87" s="237" t="str">
        <f t="shared" si="20"/>
        <v/>
      </c>
      <c r="Q87" s="456"/>
      <c r="R87" s="456"/>
      <c r="S87" s="456" t="str">
        <f t="shared" si="21"/>
        <v/>
      </c>
      <c r="T87" s="239" t="str">
        <f t="shared" si="22"/>
        <v/>
      </c>
      <c r="U87" s="468" t="str">
        <f t="shared" si="23"/>
        <v/>
      </c>
      <c r="V87" s="475"/>
      <c r="W87" s="474"/>
      <c r="X87" s="470"/>
      <c r="Y87" s="454"/>
      <c r="Z87" s="454"/>
      <c r="AA87" s="454"/>
      <c r="AB87" s="454"/>
      <c r="AC87" s="454"/>
      <c r="AD87" s="474"/>
      <c r="AE87" s="481"/>
      <c r="AF87" s="579" t="str">
        <f t="shared" si="24"/>
        <v/>
      </c>
      <c r="AG87" s="577" t="str">
        <f t="shared" si="25"/>
        <v/>
      </c>
      <c r="AH87" s="575" t="str">
        <f t="shared" si="26"/>
        <v/>
      </c>
      <c r="AI87" s="239" t="str">
        <f>IF($C87="","",VLOOKUP($AH87,'3-1.標準報酬月額・保険料表'!$N$8:$O$57,2,TRUE))</f>
        <v/>
      </c>
      <c r="AJ87" s="187"/>
      <c r="AK87" s="187"/>
      <c r="AL87" s="239">
        <f t="shared" si="17"/>
        <v>0</v>
      </c>
    </row>
    <row r="88" spans="1:38" s="184" customFormat="1" ht="20.100000000000001" customHeight="1" x14ac:dyDescent="0.15">
      <c r="A88" s="185" t="str">
        <f t="shared" si="18"/>
        <v/>
      </c>
      <c r="B88" s="451"/>
      <c r="C88" s="452"/>
      <c r="D88" s="453"/>
      <c r="E88" s="453"/>
      <c r="F88" s="649"/>
      <c r="G88" s="650"/>
      <c r="H88" s="650"/>
      <c r="I88" s="186" t="str">
        <f t="shared" si="27"/>
        <v/>
      </c>
      <c r="J88" s="186" t="str">
        <f t="shared" si="14"/>
        <v/>
      </c>
      <c r="K88" s="186" t="str">
        <f t="shared" si="15"/>
        <v/>
      </c>
      <c r="L88" s="186" t="str">
        <f t="shared" si="16"/>
        <v/>
      </c>
      <c r="M88" s="454"/>
      <c r="N88" s="455"/>
      <c r="O88" s="236" t="str">
        <f t="shared" si="19"/>
        <v/>
      </c>
      <c r="P88" s="237" t="str">
        <f t="shared" si="20"/>
        <v/>
      </c>
      <c r="Q88" s="456"/>
      <c r="R88" s="456"/>
      <c r="S88" s="456" t="str">
        <f t="shared" si="21"/>
        <v/>
      </c>
      <c r="T88" s="239" t="str">
        <f t="shared" si="22"/>
        <v/>
      </c>
      <c r="U88" s="468" t="str">
        <f t="shared" si="23"/>
        <v/>
      </c>
      <c r="V88" s="475"/>
      <c r="W88" s="474"/>
      <c r="X88" s="470"/>
      <c r="Y88" s="454"/>
      <c r="Z88" s="454"/>
      <c r="AA88" s="454"/>
      <c r="AB88" s="454"/>
      <c r="AC88" s="454"/>
      <c r="AD88" s="474"/>
      <c r="AE88" s="481"/>
      <c r="AF88" s="579" t="str">
        <f t="shared" si="24"/>
        <v/>
      </c>
      <c r="AG88" s="577" t="str">
        <f t="shared" si="25"/>
        <v/>
      </c>
      <c r="AH88" s="575" t="str">
        <f t="shared" si="26"/>
        <v/>
      </c>
      <c r="AI88" s="239" t="str">
        <f>IF($C88="","",VLOOKUP($AH88,'3-1.標準報酬月額・保険料表'!$N$8:$O$57,2,TRUE))</f>
        <v/>
      </c>
      <c r="AJ88" s="187"/>
      <c r="AK88" s="187"/>
      <c r="AL88" s="239">
        <f t="shared" si="17"/>
        <v>0</v>
      </c>
    </row>
    <row r="89" spans="1:38" s="184" customFormat="1" ht="20.100000000000001" customHeight="1" x14ac:dyDescent="0.15">
      <c r="A89" s="185" t="str">
        <f t="shared" si="18"/>
        <v/>
      </c>
      <c r="B89" s="451"/>
      <c r="C89" s="452"/>
      <c r="D89" s="453"/>
      <c r="E89" s="453"/>
      <c r="F89" s="649"/>
      <c r="G89" s="650"/>
      <c r="H89" s="650"/>
      <c r="I89" s="186" t="str">
        <f t="shared" si="27"/>
        <v/>
      </c>
      <c r="J89" s="186" t="str">
        <f t="shared" si="14"/>
        <v/>
      </c>
      <c r="K89" s="186" t="str">
        <f t="shared" si="15"/>
        <v/>
      </c>
      <c r="L89" s="186" t="str">
        <f t="shared" si="16"/>
        <v/>
      </c>
      <c r="M89" s="454"/>
      <c r="N89" s="455"/>
      <c r="O89" s="236" t="str">
        <f t="shared" si="19"/>
        <v/>
      </c>
      <c r="P89" s="237" t="str">
        <f t="shared" si="20"/>
        <v/>
      </c>
      <c r="Q89" s="456"/>
      <c r="R89" s="456"/>
      <c r="S89" s="456" t="str">
        <f t="shared" si="21"/>
        <v/>
      </c>
      <c r="T89" s="239" t="str">
        <f t="shared" si="22"/>
        <v/>
      </c>
      <c r="U89" s="468" t="str">
        <f t="shared" si="23"/>
        <v/>
      </c>
      <c r="V89" s="475"/>
      <c r="W89" s="474"/>
      <c r="X89" s="470"/>
      <c r="Y89" s="454"/>
      <c r="Z89" s="454"/>
      <c r="AA89" s="454"/>
      <c r="AB89" s="454"/>
      <c r="AC89" s="454"/>
      <c r="AD89" s="474"/>
      <c r="AE89" s="481"/>
      <c r="AF89" s="579" t="str">
        <f t="shared" si="24"/>
        <v/>
      </c>
      <c r="AG89" s="577" t="str">
        <f t="shared" si="25"/>
        <v/>
      </c>
      <c r="AH89" s="575" t="str">
        <f t="shared" si="26"/>
        <v/>
      </c>
      <c r="AI89" s="239" t="str">
        <f>IF($C89="","",VLOOKUP($AH89,'3-1.標準報酬月額・保険料表'!$N$8:$O$57,2,TRUE))</f>
        <v/>
      </c>
      <c r="AJ89" s="187"/>
      <c r="AK89" s="187"/>
      <c r="AL89" s="239">
        <f t="shared" si="17"/>
        <v>0</v>
      </c>
    </row>
    <row r="90" spans="1:38" s="184" customFormat="1" ht="20.100000000000001" customHeight="1" x14ac:dyDescent="0.15">
      <c r="A90" s="185" t="str">
        <f t="shared" si="18"/>
        <v/>
      </c>
      <c r="B90" s="451"/>
      <c r="C90" s="452"/>
      <c r="D90" s="453"/>
      <c r="E90" s="453"/>
      <c r="F90" s="649"/>
      <c r="G90" s="650"/>
      <c r="H90" s="650"/>
      <c r="I90" s="186" t="str">
        <f t="shared" si="27"/>
        <v/>
      </c>
      <c r="J90" s="186" t="str">
        <f t="shared" si="14"/>
        <v/>
      </c>
      <c r="K90" s="186" t="str">
        <f t="shared" si="15"/>
        <v/>
      </c>
      <c r="L90" s="186" t="str">
        <f t="shared" si="16"/>
        <v/>
      </c>
      <c r="M90" s="454"/>
      <c r="N90" s="455"/>
      <c r="O90" s="236" t="str">
        <f t="shared" si="19"/>
        <v/>
      </c>
      <c r="P90" s="237" t="str">
        <f t="shared" si="20"/>
        <v/>
      </c>
      <c r="Q90" s="456"/>
      <c r="R90" s="456"/>
      <c r="S90" s="456" t="str">
        <f t="shared" si="21"/>
        <v/>
      </c>
      <c r="T90" s="239" t="str">
        <f t="shared" si="22"/>
        <v/>
      </c>
      <c r="U90" s="468" t="str">
        <f t="shared" si="23"/>
        <v/>
      </c>
      <c r="V90" s="475"/>
      <c r="W90" s="474"/>
      <c r="X90" s="470"/>
      <c r="Y90" s="454"/>
      <c r="Z90" s="454"/>
      <c r="AA90" s="454"/>
      <c r="AB90" s="454"/>
      <c r="AC90" s="454"/>
      <c r="AD90" s="474"/>
      <c r="AE90" s="481"/>
      <c r="AF90" s="579" t="str">
        <f t="shared" si="24"/>
        <v/>
      </c>
      <c r="AG90" s="577" t="str">
        <f t="shared" si="25"/>
        <v/>
      </c>
      <c r="AH90" s="575" t="str">
        <f t="shared" si="26"/>
        <v/>
      </c>
      <c r="AI90" s="239" t="str">
        <f>IF($C90="","",VLOOKUP($AH90,'3-1.標準報酬月額・保険料表'!$N$8:$O$57,2,TRUE))</f>
        <v/>
      </c>
      <c r="AJ90" s="187"/>
      <c r="AK90" s="187"/>
      <c r="AL90" s="239">
        <f t="shared" si="17"/>
        <v>0</v>
      </c>
    </row>
    <row r="91" spans="1:38" s="184" customFormat="1" ht="20.100000000000001" customHeight="1" x14ac:dyDescent="0.15">
      <c r="A91" s="185" t="str">
        <f t="shared" si="18"/>
        <v/>
      </c>
      <c r="B91" s="451"/>
      <c r="C91" s="452"/>
      <c r="D91" s="453"/>
      <c r="E91" s="453"/>
      <c r="F91" s="649"/>
      <c r="G91" s="650"/>
      <c r="H91" s="650"/>
      <c r="I91" s="186" t="str">
        <f t="shared" si="27"/>
        <v/>
      </c>
      <c r="J91" s="186" t="str">
        <f t="shared" si="14"/>
        <v/>
      </c>
      <c r="K91" s="186" t="str">
        <f t="shared" si="15"/>
        <v/>
      </c>
      <c r="L91" s="186" t="str">
        <f t="shared" si="16"/>
        <v/>
      </c>
      <c r="M91" s="454"/>
      <c r="N91" s="455"/>
      <c r="O91" s="236" t="str">
        <f t="shared" si="19"/>
        <v/>
      </c>
      <c r="P91" s="237" t="str">
        <f t="shared" si="20"/>
        <v/>
      </c>
      <c r="Q91" s="456"/>
      <c r="R91" s="456"/>
      <c r="S91" s="456" t="str">
        <f t="shared" si="21"/>
        <v/>
      </c>
      <c r="T91" s="239" t="str">
        <f t="shared" si="22"/>
        <v/>
      </c>
      <c r="U91" s="468" t="str">
        <f t="shared" si="23"/>
        <v/>
      </c>
      <c r="V91" s="475"/>
      <c r="W91" s="474"/>
      <c r="X91" s="470"/>
      <c r="Y91" s="454"/>
      <c r="Z91" s="454"/>
      <c r="AA91" s="454"/>
      <c r="AB91" s="454"/>
      <c r="AC91" s="454"/>
      <c r="AD91" s="474"/>
      <c r="AE91" s="481"/>
      <c r="AF91" s="579" t="str">
        <f t="shared" si="24"/>
        <v/>
      </c>
      <c r="AG91" s="577" t="str">
        <f t="shared" si="25"/>
        <v/>
      </c>
      <c r="AH91" s="575" t="str">
        <f t="shared" si="26"/>
        <v/>
      </c>
      <c r="AI91" s="239" t="str">
        <f>IF($C91="","",VLOOKUP($AH91,'3-1.標準報酬月額・保険料表'!$N$8:$O$57,2,TRUE))</f>
        <v/>
      </c>
      <c r="AJ91" s="187"/>
      <c r="AK91" s="187"/>
      <c r="AL91" s="239">
        <f t="shared" si="17"/>
        <v>0</v>
      </c>
    </row>
    <row r="92" spans="1:38" s="184" customFormat="1" ht="20.100000000000001" customHeight="1" x14ac:dyDescent="0.15">
      <c r="A92" s="185" t="str">
        <f t="shared" si="18"/>
        <v/>
      </c>
      <c r="B92" s="451"/>
      <c r="C92" s="452"/>
      <c r="D92" s="453"/>
      <c r="E92" s="453"/>
      <c r="F92" s="649"/>
      <c r="G92" s="650"/>
      <c r="H92" s="650"/>
      <c r="I92" s="186" t="str">
        <f t="shared" si="27"/>
        <v/>
      </c>
      <c r="J92" s="186" t="str">
        <f t="shared" si="14"/>
        <v/>
      </c>
      <c r="K92" s="186" t="str">
        <f t="shared" si="15"/>
        <v/>
      </c>
      <c r="L92" s="186" t="str">
        <f t="shared" si="16"/>
        <v/>
      </c>
      <c r="M92" s="454"/>
      <c r="N92" s="455"/>
      <c r="O92" s="236" t="str">
        <f t="shared" si="19"/>
        <v/>
      </c>
      <c r="P92" s="237" t="str">
        <f t="shared" si="20"/>
        <v/>
      </c>
      <c r="Q92" s="456"/>
      <c r="R92" s="456"/>
      <c r="S92" s="456" t="str">
        <f t="shared" si="21"/>
        <v/>
      </c>
      <c r="T92" s="239" t="str">
        <f t="shared" si="22"/>
        <v/>
      </c>
      <c r="U92" s="468" t="str">
        <f t="shared" si="23"/>
        <v/>
      </c>
      <c r="V92" s="475"/>
      <c r="W92" s="474"/>
      <c r="X92" s="470"/>
      <c r="Y92" s="454"/>
      <c r="Z92" s="454"/>
      <c r="AA92" s="454"/>
      <c r="AB92" s="454"/>
      <c r="AC92" s="454"/>
      <c r="AD92" s="474"/>
      <c r="AE92" s="481"/>
      <c r="AF92" s="579" t="str">
        <f t="shared" si="24"/>
        <v/>
      </c>
      <c r="AG92" s="577" t="str">
        <f t="shared" si="25"/>
        <v/>
      </c>
      <c r="AH92" s="575" t="str">
        <f t="shared" si="26"/>
        <v/>
      </c>
      <c r="AI92" s="239" t="str">
        <f>IF($C92="","",VLOOKUP($AH92,'3-1.標準報酬月額・保険料表'!$N$8:$O$57,2,TRUE))</f>
        <v/>
      </c>
      <c r="AJ92" s="187"/>
      <c r="AK92" s="187"/>
      <c r="AL92" s="239">
        <f t="shared" si="17"/>
        <v>0</v>
      </c>
    </row>
    <row r="93" spans="1:38" s="184" customFormat="1" ht="20.100000000000001" customHeight="1" x14ac:dyDescent="0.15">
      <c r="A93" s="185" t="str">
        <f t="shared" si="18"/>
        <v/>
      </c>
      <c r="B93" s="451"/>
      <c r="C93" s="452"/>
      <c r="D93" s="453"/>
      <c r="E93" s="453"/>
      <c r="F93" s="649"/>
      <c r="G93" s="650"/>
      <c r="H93" s="650"/>
      <c r="I93" s="186" t="str">
        <f t="shared" si="27"/>
        <v/>
      </c>
      <c r="J93" s="186" t="str">
        <f t="shared" si="14"/>
        <v/>
      </c>
      <c r="K93" s="186" t="str">
        <f t="shared" si="15"/>
        <v/>
      </c>
      <c r="L93" s="186" t="str">
        <f t="shared" si="16"/>
        <v/>
      </c>
      <c r="M93" s="454"/>
      <c r="N93" s="455"/>
      <c r="O93" s="236" t="str">
        <f t="shared" si="19"/>
        <v/>
      </c>
      <c r="P93" s="237" t="str">
        <f t="shared" si="20"/>
        <v/>
      </c>
      <c r="Q93" s="456"/>
      <c r="R93" s="456"/>
      <c r="S93" s="456" t="str">
        <f t="shared" si="21"/>
        <v/>
      </c>
      <c r="T93" s="239" t="str">
        <f t="shared" si="22"/>
        <v/>
      </c>
      <c r="U93" s="468" t="str">
        <f t="shared" si="23"/>
        <v/>
      </c>
      <c r="V93" s="475"/>
      <c r="W93" s="474"/>
      <c r="X93" s="470"/>
      <c r="Y93" s="454"/>
      <c r="Z93" s="454"/>
      <c r="AA93" s="454"/>
      <c r="AB93" s="454"/>
      <c r="AC93" s="454"/>
      <c r="AD93" s="474"/>
      <c r="AE93" s="481"/>
      <c r="AF93" s="579" t="str">
        <f t="shared" si="24"/>
        <v/>
      </c>
      <c r="AG93" s="577" t="str">
        <f t="shared" si="25"/>
        <v/>
      </c>
      <c r="AH93" s="575" t="str">
        <f t="shared" si="26"/>
        <v/>
      </c>
      <c r="AI93" s="239" t="str">
        <f>IF($C93="","",VLOOKUP($AH93,'3-1.標準報酬月額・保険料表'!$N$8:$O$57,2,TRUE))</f>
        <v/>
      </c>
      <c r="AJ93" s="187"/>
      <c r="AK93" s="187"/>
      <c r="AL93" s="239">
        <f t="shared" si="17"/>
        <v>0</v>
      </c>
    </row>
    <row r="94" spans="1:38" s="184" customFormat="1" ht="20.100000000000001" customHeight="1" x14ac:dyDescent="0.15">
      <c r="A94" s="185" t="str">
        <f t="shared" si="18"/>
        <v/>
      </c>
      <c r="B94" s="451"/>
      <c r="C94" s="452"/>
      <c r="D94" s="453"/>
      <c r="E94" s="453"/>
      <c r="F94" s="649"/>
      <c r="G94" s="650"/>
      <c r="H94" s="650"/>
      <c r="I94" s="186" t="str">
        <f t="shared" si="27"/>
        <v/>
      </c>
      <c r="J94" s="186" t="str">
        <f t="shared" si="14"/>
        <v/>
      </c>
      <c r="K94" s="186" t="str">
        <f t="shared" si="15"/>
        <v/>
      </c>
      <c r="L94" s="186" t="str">
        <f t="shared" si="16"/>
        <v/>
      </c>
      <c r="M94" s="454"/>
      <c r="N94" s="455"/>
      <c r="O94" s="236" t="str">
        <f t="shared" si="19"/>
        <v/>
      </c>
      <c r="P94" s="237" t="str">
        <f t="shared" si="20"/>
        <v/>
      </c>
      <c r="Q94" s="456"/>
      <c r="R94" s="456"/>
      <c r="S94" s="456" t="str">
        <f t="shared" si="21"/>
        <v/>
      </c>
      <c r="T94" s="239" t="str">
        <f t="shared" si="22"/>
        <v/>
      </c>
      <c r="U94" s="468" t="str">
        <f t="shared" si="23"/>
        <v/>
      </c>
      <c r="V94" s="475"/>
      <c r="W94" s="474"/>
      <c r="X94" s="470"/>
      <c r="Y94" s="454"/>
      <c r="Z94" s="454"/>
      <c r="AA94" s="454"/>
      <c r="AB94" s="454"/>
      <c r="AC94" s="454"/>
      <c r="AD94" s="474"/>
      <c r="AE94" s="481"/>
      <c r="AF94" s="579" t="str">
        <f t="shared" si="24"/>
        <v/>
      </c>
      <c r="AG94" s="577" t="str">
        <f t="shared" si="25"/>
        <v/>
      </c>
      <c r="AH94" s="575" t="str">
        <f t="shared" si="26"/>
        <v/>
      </c>
      <c r="AI94" s="239" t="str">
        <f>IF($C94="","",VLOOKUP($AH94,'3-1.標準報酬月額・保険料表'!$N$8:$O$57,2,TRUE))</f>
        <v/>
      </c>
      <c r="AJ94" s="187"/>
      <c r="AK94" s="187"/>
      <c r="AL94" s="239">
        <f t="shared" si="17"/>
        <v>0</v>
      </c>
    </row>
    <row r="95" spans="1:38" s="184" customFormat="1" ht="20.100000000000001" customHeight="1" x14ac:dyDescent="0.15">
      <c r="A95" s="185" t="str">
        <f t="shared" si="18"/>
        <v/>
      </c>
      <c r="B95" s="451"/>
      <c r="C95" s="452"/>
      <c r="D95" s="453"/>
      <c r="E95" s="453"/>
      <c r="F95" s="649"/>
      <c r="G95" s="650"/>
      <c r="H95" s="650"/>
      <c r="I95" s="186" t="str">
        <f t="shared" si="27"/>
        <v/>
      </c>
      <c r="J95" s="186" t="str">
        <f t="shared" si="14"/>
        <v/>
      </c>
      <c r="K95" s="186" t="str">
        <f t="shared" si="15"/>
        <v/>
      </c>
      <c r="L95" s="186" t="str">
        <f t="shared" si="16"/>
        <v/>
      </c>
      <c r="M95" s="454"/>
      <c r="N95" s="455"/>
      <c r="O95" s="236" t="str">
        <f t="shared" si="19"/>
        <v/>
      </c>
      <c r="P95" s="237" t="str">
        <f t="shared" si="20"/>
        <v/>
      </c>
      <c r="Q95" s="456"/>
      <c r="R95" s="456"/>
      <c r="S95" s="456" t="str">
        <f t="shared" si="21"/>
        <v/>
      </c>
      <c r="T95" s="239" t="str">
        <f t="shared" si="22"/>
        <v/>
      </c>
      <c r="U95" s="468" t="str">
        <f t="shared" si="23"/>
        <v/>
      </c>
      <c r="V95" s="475"/>
      <c r="W95" s="474"/>
      <c r="X95" s="470"/>
      <c r="Y95" s="454"/>
      <c r="Z95" s="454"/>
      <c r="AA95" s="454"/>
      <c r="AB95" s="454"/>
      <c r="AC95" s="454"/>
      <c r="AD95" s="474"/>
      <c r="AE95" s="481"/>
      <c r="AF95" s="579" t="str">
        <f t="shared" si="24"/>
        <v/>
      </c>
      <c r="AG95" s="577" t="str">
        <f t="shared" si="25"/>
        <v/>
      </c>
      <c r="AH95" s="575" t="str">
        <f t="shared" si="26"/>
        <v/>
      </c>
      <c r="AI95" s="239" t="str">
        <f>IF($C95="","",VLOOKUP($AH95,'3-1.標準報酬月額・保険料表'!$N$8:$O$57,2,TRUE))</f>
        <v/>
      </c>
      <c r="AJ95" s="187"/>
      <c r="AK95" s="187"/>
      <c r="AL95" s="239">
        <f t="shared" si="17"/>
        <v>0</v>
      </c>
    </row>
    <row r="96" spans="1:38" s="184" customFormat="1" ht="20.100000000000001" customHeight="1" x14ac:dyDescent="0.15">
      <c r="A96" s="185" t="str">
        <f t="shared" si="18"/>
        <v/>
      </c>
      <c r="B96" s="451"/>
      <c r="C96" s="452"/>
      <c r="D96" s="453"/>
      <c r="E96" s="453"/>
      <c r="F96" s="649"/>
      <c r="G96" s="650"/>
      <c r="H96" s="650"/>
      <c r="I96" s="186" t="str">
        <f t="shared" si="27"/>
        <v/>
      </c>
      <c r="J96" s="186" t="str">
        <f t="shared" si="14"/>
        <v/>
      </c>
      <c r="K96" s="186" t="str">
        <f t="shared" si="15"/>
        <v/>
      </c>
      <c r="L96" s="186" t="str">
        <f t="shared" si="16"/>
        <v/>
      </c>
      <c r="M96" s="454"/>
      <c r="N96" s="455"/>
      <c r="O96" s="236" t="str">
        <f t="shared" si="19"/>
        <v/>
      </c>
      <c r="P96" s="237" t="str">
        <f t="shared" si="20"/>
        <v/>
      </c>
      <c r="Q96" s="456"/>
      <c r="R96" s="456"/>
      <c r="S96" s="456" t="str">
        <f t="shared" si="21"/>
        <v/>
      </c>
      <c r="T96" s="239" t="str">
        <f t="shared" si="22"/>
        <v/>
      </c>
      <c r="U96" s="468" t="str">
        <f t="shared" si="23"/>
        <v/>
      </c>
      <c r="V96" s="475"/>
      <c r="W96" s="474"/>
      <c r="X96" s="470"/>
      <c r="Y96" s="454"/>
      <c r="Z96" s="454"/>
      <c r="AA96" s="454"/>
      <c r="AB96" s="454"/>
      <c r="AC96" s="454"/>
      <c r="AD96" s="474"/>
      <c r="AE96" s="481"/>
      <c r="AF96" s="579" t="str">
        <f t="shared" si="24"/>
        <v/>
      </c>
      <c r="AG96" s="577" t="str">
        <f t="shared" si="25"/>
        <v/>
      </c>
      <c r="AH96" s="575" t="str">
        <f t="shared" si="26"/>
        <v/>
      </c>
      <c r="AI96" s="239" t="str">
        <f>IF($C96="","",VLOOKUP($AH96,'3-1.標準報酬月額・保険料表'!$N$8:$O$57,2,TRUE))</f>
        <v/>
      </c>
      <c r="AJ96" s="187"/>
      <c r="AK96" s="187"/>
      <c r="AL96" s="239">
        <f t="shared" si="17"/>
        <v>0</v>
      </c>
    </row>
    <row r="97" spans="1:38" s="184" customFormat="1" ht="20.100000000000001" customHeight="1" x14ac:dyDescent="0.15">
      <c r="A97" s="185" t="str">
        <f t="shared" si="18"/>
        <v/>
      </c>
      <c r="B97" s="451"/>
      <c r="C97" s="452"/>
      <c r="D97" s="453"/>
      <c r="E97" s="453"/>
      <c r="F97" s="649"/>
      <c r="G97" s="650"/>
      <c r="H97" s="650"/>
      <c r="I97" s="186" t="str">
        <f t="shared" si="27"/>
        <v/>
      </c>
      <c r="J97" s="186" t="str">
        <f t="shared" si="14"/>
        <v/>
      </c>
      <c r="K97" s="186" t="str">
        <f t="shared" si="15"/>
        <v/>
      </c>
      <c r="L97" s="186" t="str">
        <f t="shared" si="16"/>
        <v/>
      </c>
      <c r="M97" s="454"/>
      <c r="N97" s="455"/>
      <c r="O97" s="236" t="str">
        <f t="shared" si="19"/>
        <v/>
      </c>
      <c r="P97" s="237" t="str">
        <f t="shared" si="20"/>
        <v/>
      </c>
      <c r="Q97" s="456"/>
      <c r="R97" s="456"/>
      <c r="S97" s="456" t="str">
        <f t="shared" si="21"/>
        <v/>
      </c>
      <c r="T97" s="239" t="str">
        <f t="shared" si="22"/>
        <v/>
      </c>
      <c r="U97" s="468" t="str">
        <f t="shared" si="23"/>
        <v/>
      </c>
      <c r="V97" s="475"/>
      <c r="W97" s="474"/>
      <c r="X97" s="470"/>
      <c r="Y97" s="454"/>
      <c r="Z97" s="454"/>
      <c r="AA97" s="454"/>
      <c r="AB97" s="454"/>
      <c r="AC97" s="454"/>
      <c r="AD97" s="474"/>
      <c r="AE97" s="481"/>
      <c r="AF97" s="579" t="str">
        <f t="shared" si="24"/>
        <v/>
      </c>
      <c r="AG97" s="577" t="str">
        <f t="shared" si="25"/>
        <v/>
      </c>
      <c r="AH97" s="575" t="str">
        <f t="shared" si="26"/>
        <v/>
      </c>
      <c r="AI97" s="239" t="str">
        <f>IF($C97="","",VLOOKUP($AH97,'3-1.標準報酬月額・保険料表'!$N$8:$O$57,2,TRUE))</f>
        <v/>
      </c>
      <c r="AJ97" s="187"/>
      <c r="AK97" s="187"/>
      <c r="AL97" s="239">
        <f t="shared" si="17"/>
        <v>0</v>
      </c>
    </row>
    <row r="98" spans="1:38" s="184" customFormat="1" ht="20.100000000000001" customHeight="1" x14ac:dyDescent="0.15">
      <c r="A98" s="185" t="str">
        <f t="shared" si="18"/>
        <v/>
      </c>
      <c r="B98" s="451"/>
      <c r="C98" s="452"/>
      <c r="D98" s="453"/>
      <c r="E98" s="453"/>
      <c r="F98" s="649"/>
      <c r="G98" s="650"/>
      <c r="H98" s="650"/>
      <c r="I98" s="186" t="str">
        <f t="shared" si="27"/>
        <v/>
      </c>
      <c r="J98" s="186" t="str">
        <f t="shared" si="14"/>
        <v/>
      </c>
      <c r="K98" s="186" t="str">
        <f t="shared" si="15"/>
        <v/>
      </c>
      <c r="L98" s="186" t="str">
        <f t="shared" si="16"/>
        <v/>
      </c>
      <c r="M98" s="454"/>
      <c r="N98" s="455"/>
      <c r="O98" s="236" t="str">
        <f t="shared" si="19"/>
        <v/>
      </c>
      <c r="P98" s="237" t="str">
        <f t="shared" si="20"/>
        <v/>
      </c>
      <c r="Q98" s="456"/>
      <c r="R98" s="456"/>
      <c r="S98" s="456" t="str">
        <f t="shared" si="21"/>
        <v/>
      </c>
      <c r="T98" s="239" t="str">
        <f t="shared" si="22"/>
        <v/>
      </c>
      <c r="U98" s="468" t="str">
        <f t="shared" si="23"/>
        <v/>
      </c>
      <c r="V98" s="475"/>
      <c r="W98" s="474"/>
      <c r="X98" s="470"/>
      <c r="Y98" s="454"/>
      <c r="Z98" s="454"/>
      <c r="AA98" s="454"/>
      <c r="AB98" s="454"/>
      <c r="AC98" s="454"/>
      <c r="AD98" s="474"/>
      <c r="AE98" s="481"/>
      <c r="AF98" s="579" t="str">
        <f t="shared" si="24"/>
        <v/>
      </c>
      <c r="AG98" s="577" t="str">
        <f t="shared" si="25"/>
        <v/>
      </c>
      <c r="AH98" s="575" t="str">
        <f t="shared" si="26"/>
        <v/>
      </c>
      <c r="AI98" s="239" t="str">
        <f>IF($C98="","",VLOOKUP($AH98,'3-1.標準報酬月額・保険料表'!$N$8:$O$57,2,TRUE))</f>
        <v/>
      </c>
      <c r="AJ98" s="187"/>
      <c r="AK98" s="187"/>
      <c r="AL98" s="239">
        <f t="shared" si="17"/>
        <v>0</v>
      </c>
    </row>
    <row r="99" spans="1:38" s="184" customFormat="1" ht="20.100000000000001" customHeight="1" x14ac:dyDescent="0.15">
      <c r="A99" s="185" t="str">
        <f t="shared" si="18"/>
        <v/>
      </c>
      <c r="B99" s="451"/>
      <c r="C99" s="452"/>
      <c r="D99" s="453"/>
      <c r="E99" s="453"/>
      <c r="F99" s="649"/>
      <c r="G99" s="650"/>
      <c r="H99" s="650"/>
      <c r="I99" s="186" t="str">
        <f t="shared" si="27"/>
        <v/>
      </c>
      <c r="J99" s="186" t="str">
        <f t="shared" si="14"/>
        <v/>
      </c>
      <c r="K99" s="186" t="str">
        <f t="shared" si="15"/>
        <v/>
      </c>
      <c r="L99" s="186" t="str">
        <f t="shared" si="16"/>
        <v/>
      </c>
      <c r="M99" s="454"/>
      <c r="N99" s="455"/>
      <c r="O99" s="236" t="str">
        <f t="shared" si="19"/>
        <v/>
      </c>
      <c r="P99" s="237" t="str">
        <f t="shared" si="20"/>
        <v/>
      </c>
      <c r="Q99" s="456"/>
      <c r="R99" s="456"/>
      <c r="S99" s="456" t="str">
        <f t="shared" si="21"/>
        <v/>
      </c>
      <c r="T99" s="239" t="str">
        <f t="shared" si="22"/>
        <v/>
      </c>
      <c r="U99" s="468" t="str">
        <f t="shared" si="23"/>
        <v/>
      </c>
      <c r="V99" s="475"/>
      <c r="W99" s="474"/>
      <c r="X99" s="470"/>
      <c r="Y99" s="454"/>
      <c r="Z99" s="454"/>
      <c r="AA99" s="454"/>
      <c r="AB99" s="454"/>
      <c r="AC99" s="454"/>
      <c r="AD99" s="474"/>
      <c r="AE99" s="481"/>
      <c r="AF99" s="579" t="str">
        <f t="shared" si="24"/>
        <v/>
      </c>
      <c r="AG99" s="577" t="str">
        <f t="shared" si="25"/>
        <v/>
      </c>
      <c r="AH99" s="575" t="str">
        <f t="shared" si="26"/>
        <v/>
      </c>
      <c r="AI99" s="239" t="str">
        <f>IF($C99="","",VLOOKUP($AH99,'3-1.標準報酬月額・保険料表'!$N$8:$O$57,2,TRUE))</f>
        <v/>
      </c>
      <c r="AJ99" s="187"/>
      <c r="AK99" s="187"/>
      <c r="AL99" s="239">
        <f t="shared" si="17"/>
        <v>0</v>
      </c>
    </row>
    <row r="100" spans="1:38" s="184" customFormat="1" ht="20.100000000000001" customHeight="1" x14ac:dyDescent="0.15">
      <c r="A100" s="185" t="str">
        <f t="shared" si="18"/>
        <v/>
      </c>
      <c r="B100" s="451"/>
      <c r="C100" s="452"/>
      <c r="D100" s="453"/>
      <c r="E100" s="453"/>
      <c r="F100" s="649"/>
      <c r="G100" s="650"/>
      <c r="H100" s="650"/>
      <c r="I100" s="186" t="str">
        <f t="shared" si="27"/>
        <v/>
      </c>
      <c r="J100" s="186" t="str">
        <f t="shared" si="14"/>
        <v/>
      </c>
      <c r="K100" s="186" t="str">
        <f t="shared" si="15"/>
        <v/>
      </c>
      <c r="L100" s="186" t="str">
        <f t="shared" si="16"/>
        <v/>
      </c>
      <c r="M100" s="454"/>
      <c r="N100" s="455"/>
      <c r="O100" s="236" t="str">
        <f t="shared" si="19"/>
        <v/>
      </c>
      <c r="P100" s="237" t="str">
        <f t="shared" si="20"/>
        <v/>
      </c>
      <c r="Q100" s="456"/>
      <c r="R100" s="456"/>
      <c r="S100" s="456" t="str">
        <f t="shared" si="21"/>
        <v/>
      </c>
      <c r="T100" s="239" t="str">
        <f t="shared" si="22"/>
        <v/>
      </c>
      <c r="U100" s="468" t="str">
        <f t="shared" si="23"/>
        <v/>
      </c>
      <c r="V100" s="475"/>
      <c r="W100" s="474"/>
      <c r="X100" s="470"/>
      <c r="Y100" s="454"/>
      <c r="Z100" s="454"/>
      <c r="AA100" s="454"/>
      <c r="AB100" s="454"/>
      <c r="AC100" s="454"/>
      <c r="AD100" s="474"/>
      <c r="AE100" s="481"/>
      <c r="AF100" s="579" t="str">
        <f t="shared" si="24"/>
        <v/>
      </c>
      <c r="AG100" s="577" t="str">
        <f t="shared" si="25"/>
        <v/>
      </c>
      <c r="AH100" s="575" t="str">
        <f t="shared" si="26"/>
        <v/>
      </c>
      <c r="AI100" s="239" t="str">
        <f>IF($C100="","",VLOOKUP($AH100,'3-1.標準報酬月額・保険料表'!$N$8:$O$57,2,TRUE))</f>
        <v/>
      </c>
      <c r="AJ100" s="187"/>
      <c r="AK100" s="187"/>
      <c r="AL100" s="239">
        <f t="shared" si="17"/>
        <v>0</v>
      </c>
    </row>
    <row r="101" spans="1:38" s="184" customFormat="1" ht="20.100000000000001" customHeight="1" x14ac:dyDescent="0.15">
      <c r="A101" s="185" t="str">
        <f t="shared" si="18"/>
        <v/>
      </c>
      <c r="B101" s="451"/>
      <c r="C101" s="452"/>
      <c r="D101" s="453"/>
      <c r="E101" s="453"/>
      <c r="F101" s="649"/>
      <c r="G101" s="650"/>
      <c r="H101" s="650"/>
      <c r="I101" s="186" t="str">
        <f t="shared" si="27"/>
        <v/>
      </c>
      <c r="J101" s="186" t="str">
        <f t="shared" si="14"/>
        <v/>
      </c>
      <c r="K101" s="186" t="str">
        <f t="shared" si="15"/>
        <v/>
      </c>
      <c r="L101" s="186" t="str">
        <f t="shared" si="16"/>
        <v/>
      </c>
      <c r="M101" s="454"/>
      <c r="N101" s="455"/>
      <c r="O101" s="236" t="str">
        <f t="shared" si="19"/>
        <v/>
      </c>
      <c r="P101" s="237" t="str">
        <f t="shared" si="20"/>
        <v/>
      </c>
      <c r="Q101" s="456"/>
      <c r="R101" s="456"/>
      <c r="S101" s="456" t="str">
        <f t="shared" si="21"/>
        <v/>
      </c>
      <c r="T101" s="239" t="str">
        <f t="shared" si="22"/>
        <v/>
      </c>
      <c r="U101" s="468" t="str">
        <f t="shared" si="23"/>
        <v/>
      </c>
      <c r="V101" s="475"/>
      <c r="W101" s="474"/>
      <c r="X101" s="470"/>
      <c r="Y101" s="454"/>
      <c r="Z101" s="454"/>
      <c r="AA101" s="454"/>
      <c r="AB101" s="454"/>
      <c r="AC101" s="454"/>
      <c r="AD101" s="474"/>
      <c r="AE101" s="481"/>
      <c r="AF101" s="579" t="str">
        <f t="shared" si="24"/>
        <v/>
      </c>
      <c r="AG101" s="577" t="str">
        <f t="shared" si="25"/>
        <v/>
      </c>
      <c r="AH101" s="575" t="str">
        <f t="shared" si="26"/>
        <v/>
      </c>
      <c r="AI101" s="239" t="str">
        <f>IF($C101="","",VLOOKUP($AH101,'3-1.標準報酬月額・保険料表'!$N$8:$O$57,2,TRUE))</f>
        <v/>
      </c>
      <c r="AJ101" s="187"/>
      <c r="AK101" s="187"/>
      <c r="AL101" s="239">
        <f t="shared" si="17"/>
        <v>0</v>
      </c>
    </row>
    <row r="102" spans="1:38" s="184" customFormat="1" ht="20.100000000000001" customHeight="1" x14ac:dyDescent="0.15">
      <c r="A102" s="185" t="str">
        <f t="shared" si="18"/>
        <v/>
      </c>
      <c r="B102" s="451"/>
      <c r="C102" s="452"/>
      <c r="D102" s="453"/>
      <c r="E102" s="453"/>
      <c r="F102" s="649"/>
      <c r="G102" s="650"/>
      <c r="H102" s="650"/>
      <c r="I102" s="186" t="str">
        <f t="shared" si="27"/>
        <v/>
      </c>
      <c r="J102" s="186" t="str">
        <f t="shared" si="14"/>
        <v/>
      </c>
      <c r="K102" s="186" t="str">
        <f t="shared" si="15"/>
        <v/>
      </c>
      <c r="L102" s="186" t="str">
        <f t="shared" si="16"/>
        <v/>
      </c>
      <c r="M102" s="454"/>
      <c r="N102" s="455"/>
      <c r="O102" s="236" t="str">
        <f t="shared" si="19"/>
        <v/>
      </c>
      <c r="P102" s="237" t="str">
        <f t="shared" si="20"/>
        <v/>
      </c>
      <c r="Q102" s="456"/>
      <c r="R102" s="456"/>
      <c r="S102" s="456" t="str">
        <f t="shared" si="21"/>
        <v/>
      </c>
      <c r="T102" s="239" t="str">
        <f t="shared" si="22"/>
        <v/>
      </c>
      <c r="U102" s="468" t="str">
        <f t="shared" si="23"/>
        <v/>
      </c>
      <c r="V102" s="475"/>
      <c r="W102" s="474"/>
      <c r="X102" s="470"/>
      <c r="Y102" s="454"/>
      <c r="Z102" s="454"/>
      <c r="AA102" s="454"/>
      <c r="AB102" s="454"/>
      <c r="AC102" s="454"/>
      <c r="AD102" s="474"/>
      <c r="AE102" s="481"/>
      <c r="AF102" s="579" t="str">
        <f t="shared" si="24"/>
        <v/>
      </c>
      <c r="AG102" s="577" t="str">
        <f t="shared" si="25"/>
        <v/>
      </c>
      <c r="AH102" s="575" t="str">
        <f t="shared" si="26"/>
        <v/>
      </c>
      <c r="AI102" s="239" t="str">
        <f>IF($C102="","",VLOOKUP($AH102,'3-1.標準報酬月額・保険料表'!$N$8:$O$57,2,TRUE))</f>
        <v/>
      </c>
      <c r="AJ102" s="187"/>
      <c r="AK102" s="187"/>
      <c r="AL102" s="239">
        <f t="shared" si="17"/>
        <v>0</v>
      </c>
    </row>
    <row r="103" spans="1:38" s="184" customFormat="1" ht="20.100000000000001" customHeight="1" x14ac:dyDescent="0.15">
      <c r="A103" s="185" t="str">
        <f t="shared" si="18"/>
        <v/>
      </c>
      <c r="B103" s="451"/>
      <c r="C103" s="452"/>
      <c r="D103" s="453"/>
      <c r="E103" s="453"/>
      <c r="F103" s="649"/>
      <c r="G103" s="650"/>
      <c r="H103" s="650"/>
      <c r="I103" s="186" t="str">
        <f t="shared" si="27"/>
        <v/>
      </c>
      <c r="J103" s="186" t="str">
        <f t="shared" si="14"/>
        <v/>
      </c>
      <c r="K103" s="186" t="str">
        <f t="shared" si="15"/>
        <v/>
      </c>
      <c r="L103" s="186" t="str">
        <f t="shared" si="16"/>
        <v/>
      </c>
      <c r="M103" s="454"/>
      <c r="N103" s="455"/>
      <c r="O103" s="236" t="str">
        <f t="shared" si="19"/>
        <v/>
      </c>
      <c r="P103" s="237" t="str">
        <f t="shared" si="20"/>
        <v/>
      </c>
      <c r="Q103" s="456"/>
      <c r="R103" s="456"/>
      <c r="S103" s="456" t="str">
        <f t="shared" si="21"/>
        <v/>
      </c>
      <c r="T103" s="239" t="str">
        <f t="shared" si="22"/>
        <v/>
      </c>
      <c r="U103" s="468" t="str">
        <f t="shared" si="23"/>
        <v/>
      </c>
      <c r="V103" s="475"/>
      <c r="W103" s="474"/>
      <c r="X103" s="470"/>
      <c r="Y103" s="454"/>
      <c r="Z103" s="454"/>
      <c r="AA103" s="454"/>
      <c r="AB103" s="454"/>
      <c r="AC103" s="454"/>
      <c r="AD103" s="474"/>
      <c r="AE103" s="481"/>
      <c r="AF103" s="579" t="str">
        <f t="shared" si="24"/>
        <v/>
      </c>
      <c r="AG103" s="577" t="str">
        <f t="shared" si="25"/>
        <v/>
      </c>
      <c r="AH103" s="575" t="str">
        <f t="shared" si="26"/>
        <v/>
      </c>
      <c r="AI103" s="239" t="str">
        <f>IF($C103="","",VLOOKUP($AH103,'3-1.標準報酬月額・保険料表'!$N$8:$O$57,2,TRUE))</f>
        <v/>
      </c>
      <c r="AJ103" s="187"/>
      <c r="AK103" s="187"/>
      <c r="AL103" s="239">
        <f t="shared" si="17"/>
        <v>0</v>
      </c>
    </row>
    <row r="104" spans="1:38" s="184" customFormat="1" ht="20.100000000000001" customHeight="1" x14ac:dyDescent="0.15">
      <c r="A104" s="185" t="str">
        <f t="shared" si="18"/>
        <v/>
      </c>
      <c r="B104" s="451"/>
      <c r="C104" s="452"/>
      <c r="D104" s="453"/>
      <c r="E104" s="453"/>
      <c r="F104" s="649"/>
      <c r="G104" s="650"/>
      <c r="H104" s="650"/>
      <c r="I104" s="186" t="str">
        <f t="shared" si="27"/>
        <v/>
      </c>
      <c r="J104" s="186" t="str">
        <f t="shared" si="14"/>
        <v/>
      </c>
      <c r="K104" s="186" t="str">
        <f t="shared" si="15"/>
        <v/>
      </c>
      <c r="L104" s="186" t="str">
        <f t="shared" si="16"/>
        <v/>
      </c>
      <c r="M104" s="454"/>
      <c r="N104" s="455"/>
      <c r="O104" s="236" t="str">
        <f t="shared" si="19"/>
        <v/>
      </c>
      <c r="P104" s="237" t="str">
        <f t="shared" si="20"/>
        <v/>
      </c>
      <c r="Q104" s="456"/>
      <c r="R104" s="456"/>
      <c r="S104" s="456" t="str">
        <f t="shared" si="21"/>
        <v/>
      </c>
      <c r="T104" s="239" t="str">
        <f t="shared" si="22"/>
        <v/>
      </c>
      <c r="U104" s="468" t="str">
        <f t="shared" si="23"/>
        <v/>
      </c>
      <c r="V104" s="475"/>
      <c r="W104" s="474"/>
      <c r="X104" s="470"/>
      <c r="Y104" s="454"/>
      <c r="Z104" s="454"/>
      <c r="AA104" s="454"/>
      <c r="AB104" s="454"/>
      <c r="AC104" s="454"/>
      <c r="AD104" s="474"/>
      <c r="AE104" s="481"/>
      <c r="AF104" s="579" t="str">
        <f t="shared" si="24"/>
        <v/>
      </c>
      <c r="AG104" s="577" t="str">
        <f t="shared" si="25"/>
        <v/>
      </c>
      <c r="AH104" s="575" t="str">
        <f t="shared" si="26"/>
        <v/>
      </c>
      <c r="AI104" s="239" t="str">
        <f>IF($C104="","",VLOOKUP($AH104,'3-1.標準報酬月額・保険料表'!$N$8:$O$57,2,TRUE))</f>
        <v/>
      </c>
      <c r="AJ104" s="187"/>
      <c r="AK104" s="187"/>
      <c r="AL104" s="239">
        <f t="shared" si="17"/>
        <v>0</v>
      </c>
    </row>
    <row r="105" spans="1:38" s="184" customFormat="1" ht="20.100000000000001" customHeight="1" x14ac:dyDescent="0.15">
      <c r="A105" s="185" t="str">
        <f t="shared" si="18"/>
        <v/>
      </c>
      <c r="B105" s="451"/>
      <c r="C105" s="452"/>
      <c r="D105" s="453"/>
      <c r="E105" s="453"/>
      <c r="F105" s="649"/>
      <c r="G105" s="650"/>
      <c r="H105" s="650"/>
      <c r="I105" s="186" t="str">
        <f t="shared" si="27"/>
        <v/>
      </c>
      <c r="J105" s="186" t="str">
        <f t="shared" si="14"/>
        <v/>
      </c>
      <c r="K105" s="186" t="str">
        <f t="shared" si="15"/>
        <v/>
      </c>
      <c r="L105" s="186" t="str">
        <f t="shared" si="16"/>
        <v/>
      </c>
      <c r="M105" s="454"/>
      <c r="N105" s="455"/>
      <c r="O105" s="236" t="str">
        <f t="shared" si="19"/>
        <v/>
      </c>
      <c r="P105" s="237" t="str">
        <f t="shared" si="20"/>
        <v/>
      </c>
      <c r="Q105" s="456"/>
      <c r="R105" s="456"/>
      <c r="S105" s="456" t="str">
        <f t="shared" si="21"/>
        <v/>
      </c>
      <c r="T105" s="239" t="str">
        <f t="shared" si="22"/>
        <v/>
      </c>
      <c r="U105" s="468" t="str">
        <f t="shared" si="23"/>
        <v/>
      </c>
      <c r="V105" s="475"/>
      <c r="W105" s="474"/>
      <c r="X105" s="470"/>
      <c r="Y105" s="454"/>
      <c r="Z105" s="454"/>
      <c r="AA105" s="454"/>
      <c r="AB105" s="454"/>
      <c r="AC105" s="454"/>
      <c r="AD105" s="474"/>
      <c r="AE105" s="481"/>
      <c r="AF105" s="579" t="str">
        <f t="shared" si="24"/>
        <v/>
      </c>
      <c r="AG105" s="577" t="str">
        <f t="shared" si="25"/>
        <v/>
      </c>
      <c r="AH105" s="575" t="str">
        <f t="shared" si="26"/>
        <v/>
      </c>
      <c r="AI105" s="239" t="str">
        <f>IF($C105="","",VLOOKUP($AH105,'3-1.標準報酬月額・保険料表'!$N$8:$O$57,2,TRUE))</f>
        <v/>
      </c>
      <c r="AJ105" s="187"/>
      <c r="AK105" s="187"/>
      <c r="AL105" s="239">
        <f t="shared" si="17"/>
        <v>0</v>
      </c>
    </row>
    <row r="106" spans="1:38" s="184" customFormat="1" ht="20.100000000000001" customHeight="1" x14ac:dyDescent="0.15">
      <c r="A106" s="185" t="str">
        <f t="shared" si="18"/>
        <v/>
      </c>
      <c r="B106" s="451"/>
      <c r="C106" s="452"/>
      <c r="D106" s="453"/>
      <c r="E106" s="453"/>
      <c r="F106" s="649"/>
      <c r="G106" s="650"/>
      <c r="H106" s="650"/>
      <c r="I106" s="186" t="str">
        <f t="shared" si="27"/>
        <v/>
      </c>
      <c r="J106" s="186" t="str">
        <f t="shared" si="14"/>
        <v/>
      </c>
      <c r="K106" s="186" t="str">
        <f t="shared" si="15"/>
        <v/>
      </c>
      <c r="L106" s="186" t="str">
        <f t="shared" si="16"/>
        <v/>
      </c>
      <c r="M106" s="454"/>
      <c r="N106" s="455"/>
      <c r="O106" s="236" t="str">
        <f t="shared" si="19"/>
        <v/>
      </c>
      <c r="P106" s="237" t="str">
        <f t="shared" si="20"/>
        <v/>
      </c>
      <c r="Q106" s="456"/>
      <c r="R106" s="456"/>
      <c r="S106" s="456" t="str">
        <f t="shared" si="21"/>
        <v/>
      </c>
      <c r="T106" s="239" t="str">
        <f t="shared" si="22"/>
        <v/>
      </c>
      <c r="U106" s="468" t="str">
        <f t="shared" si="23"/>
        <v/>
      </c>
      <c r="V106" s="475"/>
      <c r="W106" s="474"/>
      <c r="X106" s="470"/>
      <c r="Y106" s="454"/>
      <c r="Z106" s="454"/>
      <c r="AA106" s="454"/>
      <c r="AB106" s="454"/>
      <c r="AC106" s="454"/>
      <c r="AD106" s="474"/>
      <c r="AE106" s="481"/>
      <c r="AF106" s="579" t="str">
        <f t="shared" si="24"/>
        <v/>
      </c>
      <c r="AG106" s="577" t="str">
        <f t="shared" si="25"/>
        <v/>
      </c>
      <c r="AH106" s="575" t="str">
        <f t="shared" si="26"/>
        <v/>
      </c>
      <c r="AI106" s="239" t="str">
        <f>IF($C106="","",VLOOKUP($AH106,'3-1.標準報酬月額・保険料表'!$N$8:$O$57,2,TRUE))</f>
        <v/>
      </c>
      <c r="AJ106" s="187"/>
      <c r="AK106" s="187"/>
      <c r="AL106" s="239">
        <f t="shared" si="17"/>
        <v>0</v>
      </c>
    </row>
    <row r="107" spans="1:38" s="184" customFormat="1" ht="20.100000000000001" customHeight="1" x14ac:dyDescent="0.15">
      <c r="A107" s="185" t="str">
        <f t="shared" si="18"/>
        <v/>
      </c>
      <c r="B107" s="451"/>
      <c r="C107" s="452"/>
      <c r="D107" s="453"/>
      <c r="E107" s="453"/>
      <c r="F107" s="649"/>
      <c r="G107" s="650"/>
      <c r="H107" s="650"/>
      <c r="I107" s="186" t="str">
        <f t="shared" si="27"/>
        <v/>
      </c>
      <c r="J107" s="186" t="str">
        <f t="shared" si="14"/>
        <v/>
      </c>
      <c r="K107" s="186" t="str">
        <f t="shared" si="15"/>
        <v/>
      </c>
      <c r="L107" s="186" t="str">
        <f t="shared" si="16"/>
        <v/>
      </c>
      <c r="M107" s="454"/>
      <c r="N107" s="455"/>
      <c r="O107" s="236" t="str">
        <f t="shared" si="19"/>
        <v/>
      </c>
      <c r="P107" s="237" t="str">
        <f t="shared" si="20"/>
        <v/>
      </c>
      <c r="Q107" s="456"/>
      <c r="R107" s="456"/>
      <c r="S107" s="456" t="str">
        <f t="shared" si="21"/>
        <v/>
      </c>
      <c r="T107" s="239" t="str">
        <f t="shared" si="22"/>
        <v/>
      </c>
      <c r="U107" s="468" t="str">
        <f t="shared" si="23"/>
        <v/>
      </c>
      <c r="V107" s="475"/>
      <c r="W107" s="474"/>
      <c r="X107" s="470"/>
      <c r="Y107" s="454"/>
      <c r="Z107" s="454"/>
      <c r="AA107" s="454"/>
      <c r="AB107" s="454"/>
      <c r="AC107" s="454"/>
      <c r="AD107" s="474"/>
      <c r="AE107" s="481"/>
      <c r="AF107" s="579" t="str">
        <f t="shared" si="24"/>
        <v/>
      </c>
      <c r="AG107" s="577" t="str">
        <f t="shared" si="25"/>
        <v/>
      </c>
      <c r="AH107" s="575" t="str">
        <f t="shared" si="26"/>
        <v/>
      </c>
      <c r="AI107" s="239" t="str">
        <f>IF($C107="","",VLOOKUP($AH107,'3-1.標準報酬月額・保険料表'!$N$8:$O$57,2,TRUE))</f>
        <v/>
      </c>
      <c r="AJ107" s="187"/>
      <c r="AK107" s="187"/>
      <c r="AL107" s="239">
        <f t="shared" si="17"/>
        <v>0</v>
      </c>
    </row>
    <row r="108" spans="1:38" s="184" customFormat="1" ht="20.100000000000001" customHeight="1" x14ac:dyDescent="0.15">
      <c r="A108" s="185" t="str">
        <f t="shared" si="18"/>
        <v/>
      </c>
      <c r="B108" s="451"/>
      <c r="C108" s="452"/>
      <c r="D108" s="453"/>
      <c r="E108" s="453"/>
      <c r="F108" s="649"/>
      <c r="G108" s="650"/>
      <c r="H108" s="650"/>
      <c r="I108" s="186" t="str">
        <f t="shared" si="27"/>
        <v/>
      </c>
      <c r="J108" s="186" t="str">
        <f t="shared" si="14"/>
        <v/>
      </c>
      <c r="K108" s="186" t="str">
        <f t="shared" si="15"/>
        <v/>
      </c>
      <c r="L108" s="186" t="str">
        <f t="shared" si="16"/>
        <v/>
      </c>
      <c r="M108" s="454"/>
      <c r="N108" s="455"/>
      <c r="O108" s="236" t="str">
        <f t="shared" si="19"/>
        <v/>
      </c>
      <c r="P108" s="237" t="str">
        <f t="shared" si="20"/>
        <v/>
      </c>
      <c r="Q108" s="456"/>
      <c r="R108" s="456"/>
      <c r="S108" s="456" t="str">
        <f t="shared" si="21"/>
        <v/>
      </c>
      <c r="T108" s="239" t="str">
        <f t="shared" si="22"/>
        <v/>
      </c>
      <c r="U108" s="468" t="str">
        <f t="shared" si="23"/>
        <v/>
      </c>
      <c r="V108" s="475"/>
      <c r="W108" s="474"/>
      <c r="X108" s="470"/>
      <c r="Y108" s="454"/>
      <c r="Z108" s="454"/>
      <c r="AA108" s="454"/>
      <c r="AB108" s="454"/>
      <c r="AC108" s="454"/>
      <c r="AD108" s="474"/>
      <c r="AE108" s="481"/>
      <c r="AF108" s="579" t="str">
        <f t="shared" si="24"/>
        <v/>
      </c>
      <c r="AG108" s="577" t="str">
        <f t="shared" si="25"/>
        <v/>
      </c>
      <c r="AH108" s="575" t="str">
        <f t="shared" si="26"/>
        <v/>
      </c>
      <c r="AI108" s="239" t="str">
        <f>IF($C108="","",VLOOKUP($AH108,'3-1.標準報酬月額・保険料表'!$N$8:$O$57,2,TRUE))</f>
        <v/>
      </c>
      <c r="AJ108" s="187"/>
      <c r="AK108" s="187"/>
      <c r="AL108" s="239">
        <f t="shared" si="17"/>
        <v>0</v>
      </c>
    </row>
    <row r="109" spans="1:38" s="184" customFormat="1" ht="20.100000000000001" customHeight="1" thickBot="1" x14ac:dyDescent="0.2">
      <c r="A109" s="185" t="str">
        <f t="shared" si="18"/>
        <v/>
      </c>
      <c r="B109" s="451"/>
      <c r="C109" s="452"/>
      <c r="D109" s="453"/>
      <c r="E109" s="453"/>
      <c r="F109" s="649"/>
      <c r="G109" s="650"/>
      <c r="H109" s="650"/>
      <c r="I109" s="186" t="str">
        <f t="shared" si="27"/>
        <v/>
      </c>
      <c r="J109" s="186" t="str">
        <f t="shared" si="14"/>
        <v/>
      </c>
      <c r="K109" s="186" t="str">
        <f t="shared" si="15"/>
        <v/>
      </c>
      <c r="L109" s="186" t="str">
        <f t="shared" si="16"/>
        <v/>
      </c>
      <c r="M109" s="454"/>
      <c r="N109" s="455"/>
      <c r="O109" s="236" t="str">
        <f t="shared" si="19"/>
        <v/>
      </c>
      <c r="P109" s="237" t="str">
        <f t="shared" si="20"/>
        <v/>
      </c>
      <c r="Q109" s="456"/>
      <c r="R109" s="456"/>
      <c r="S109" s="456" t="str">
        <f t="shared" si="21"/>
        <v/>
      </c>
      <c r="T109" s="239" t="str">
        <f t="shared" si="22"/>
        <v/>
      </c>
      <c r="U109" s="468" t="str">
        <f t="shared" si="23"/>
        <v/>
      </c>
      <c r="V109" s="476"/>
      <c r="W109" s="477"/>
      <c r="X109" s="478"/>
      <c r="Y109" s="479"/>
      <c r="Z109" s="479"/>
      <c r="AA109" s="479"/>
      <c r="AB109" s="479"/>
      <c r="AC109" s="479"/>
      <c r="AD109" s="477"/>
      <c r="AE109" s="482"/>
      <c r="AF109" s="579" t="str">
        <f t="shared" si="24"/>
        <v/>
      </c>
      <c r="AG109" s="577" t="str">
        <f t="shared" si="25"/>
        <v/>
      </c>
      <c r="AH109" s="575" t="str">
        <f t="shared" si="26"/>
        <v/>
      </c>
      <c r="AI109" s="239" t="str">
        <f>IF($C109="","",VLOOKUP($AH109,'3-1.標準報酬月額・保険料表'!$N$8:$O$57,2,TRUE))</f>
        <v/>
      </c>
      <c r="AJ109" s="187"/>
      <c r="AK109" s="187"/>
      <c r="AL109" s="239">
        <f t="shared" si="17"/>
        <v>0</v>
      </c>
    </row>
    <row r="112" spans="1:38" x14ac:dyDescent="0.15">
      <c r="C112" s="189" t="s">
        <v>171</v>
      </c>
    </row>
    <row r="113" spans="3:3" x14ac:dyDescent="0.15">
      <c r="C113" s="189" t="s">
        <v>172</v>
      </c>
    </row>
  </sheetData>
  <sheetProtection algorithmName="SHA-512" hashValue="HxKuVqq6HIF6SyaAC1T4ubGij2obi+Isfnhb8+NmZ58uj6H63KZ+O2c8ORHmybPl9ZtLuZIjc1rurjD7tKjUmQ==" saltValue="MdbTr/ucoXh0I/j8OPyanw==" spinCount="100000" sheet="1" objects="1" scenarios="1"/>
  <mergeCells count="23">
    <mergeCell ref="N2:N3"/>
    <mergeCell ref="Q8:S8"/>
    <mergeCell ref="I3:K3"/>
    <mergeCell ref="I4:K4"/>
    <mergeCell ref="A8:A9"/>
    <mergeCell ref="C8:C9"/>
    <mergeCell ref="D8:D9"/>
    <mergeCell ref="E8:E9"/>
    <mergeCell ref="F8:F9"/>
    <mergeCell ref="G8:G9"/>
    <mergeCell ref="H8:H9"/>
    <mergeCell ref="I8:J8"/>
    <mergeCell ref="K8:L8"/>
    <mergeCell ref="M8:M9"/>
    <mergeCell ref="N8:N9"/>
    <mergeCell ref="O8:O9"/>
    <mergeCell ref="AI8:AI9"/>
    <mergeCell ref="AJ8:AL8"/>
    <mergeCell ref="P8:P9"/>
    <mergeCell ref="T8:U8"/>
    <mergeCell ref="AF8:AF9"/>
    <mergeCell ref="AG8:AG9"/>
    <mergeCell ref="AH8:AH9"/>
  </mergeCells>
  <phoneticPr fontId="3"/>
  <pageMargins left="0.70866141732283472" right="0.70866141732283472" top="0.74803149606299213" bottom="0.74803149606299213" header="0.31496062992125984" footer="0.31496062992125984"/>
  <pageSetup paperSize="9" scale="73" orientation="landscape" verticalDpi="0" r:id="rId1"/>
  <headerFooter>
    <oddFooter>&amp;C&amp;P</oddFooter>
  </headerFooter>
  <colBreaks count="2" manualBreakCount="2">
    <brk id="18" min="1" max="36" man="1"/>
    <brk id="31" min="1" max="3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pageSetUpPr autoPageBreaks="0"/>
  </sheetPr>
  <dimension ref="C1:T58"/>
  <sheetViews>
    <sheetView showGridLines="0" topLeftCell="A4" zoomScaleNormal="100" workbookViewId="0">
      <selection activeCell="E1" sqref="E1"/>
    </sheetView>
  </sheetViews>
  <sheetFormatPr defaultRowHeight="13.5" x14ac:dyDescent="0.15"/>
  <cols>
    <col min="1" max="2" width="2.375" style="205" customWidth="1"/>
    <col min="3" max="3" width="4.25" style="205" customWidth="1"/>
    <col min="4" max="4" width="19.25" style="205" customWidth="1"/>
    <col min="5" max="16" width="14.625" style="205" customWidth="1"/>
    <col min="17" max="17" width="12.625" style="205" customWidth="1"/>
    <col min="18" max="16384" width="9" style="205"/>
  </cols>
  <sheetData>
    <row r="1" spans="3:20" ht="27" customHeight="1" x14ac:dyDescent="0.15"/>
    <row r="2" spans="3:20" ht="30" customHeight="1" x14ac:dyDescent="0.15">
      <c r="C2" s="290" t="s">
        <v>30</v>
      </c>
      <c r="F2" s="291" t="s">
        <v>154</v>
      </c>
      <c r="H2" s="797">
        <v>45108</v>
      </c>
      <c r="I2" s="797"/>
    </row>
    <row r="3" spans="3:20" ht="18" customHeight="1" x14ac:dyDescent="0.15">
      <c r="C3" s="292"/>
      <c r="I3" s="293"/>
    </row>
    <row r="4" spans="3:20" ht="30" customHeight="1" thickBot="1" x14ac:dyDescent="0.25">
      <c r="C4" s="294" t="s">
        <v>205</v>
      </c>
      <c r="D4" s="295"/>
      <c r="E4" s="296" t="s">
        <v>83</v>
      </c>
      <c r="G4" s="294" t="s">
        <v>206</v>
      </c>
      <c r="H4" s="297"/>
      <c r="I4" s="206"/>
      <c r="J4" s="298" t="s">
        <v>52</v>
      </c>
      <c r="L4" s="580" t="s">
        <v>28</v>
      </c>
    </row>
    <row r="5" spans="3:20" ht="30" customHeight="1" thickBot="1" x14ac:dyDescent="0.2">
      <c r="C5" s="814" t="s">
        <v>32</v>
      </c>
      <c r="D5" s="814"/>
      <c r="E5" s="148">
        <v>1.55E-2</v>
      </c>
      <c r="G5" s="811" t="s">
        <v>21</v>
      </c>
      <c r="H5" s="812"/>
      <c r="I5" s="812"/>
      <c r="J5" s="813"/>
      <c r="L5" s="581" t="s">
        <v>29</v>
      </c>
    </row>
    <row r="6" spans="3:20" ht="39.950000000000003" customHeight="1" thickBot="1" x14ac:dyDescent="0.2">
      <c r="C6" s="815" t="s">
        <v>138</v>
      </c>
      <c r="D6" s="815"/>
      <c r="E6" s="148">
        <v>6.0000000000000001E-3</v>
      </c>
      <c r="G6" s="299" t="s">
        <v>148</v>
      </c>
      <c r="H6" s="299" t="s">
        <v>149</v>
      </c>
      <c r="I6" s="300" t="s">
        <v>34</v>
      </c>
      <c r="J6" s="300" t="s">
        <v>35</v>
      </c>
    </row>
    <row r="7" spans="3:20" ht="30" customHeight="1" x14ac:dyDescent="0.15">
      <c r="C7" s="301"/>
      <c r="D7" s="302"/>
      <c r="G7" s="651">
        <v>0.10290000000000001</v>
      </c>
      <c r="H7" s="652">
        <v>0.1211</v>
      </c>
      <c r="I7" s="654">
        <f>$H7-$G7</f>
        <v>1.8199999999999994E-2</v>
      </c>
      <c r="J7" s="653">
        <v>0.183</v>
      </c>
    </row>
    <row r="8" spans="3:20" ht="18" customHeight="1" x14ac:dyDescent="0.15">
      <c r="D8" s="303"/>
      <c r="G8" s="655" t="s">
        <v>51</v>
      </c>
    </row>
    <row r="9" spans="3:20" ht="18" customHeight="1" x14ac:dyDescent="0.15">
      <c r="G9" s="656" t="s">
        <v>393</v>
      </c>
    </row>
    <row r="10" spans="3:20" ht="18" customHeight="1" x14ac:dyDescent="0.15">
      <c r="I10" s="208"/>
      <c r="J10" s="208"/>
    </row>
    <row r="11" spans="3:20" ht="25.5" customHeight="1" x14ac:dyDescent="0.15">
      <c r="I11" s="208"/>
      <c r="J11" s="208"/>
    </row>
    <row r="12" spans="3:20" ht="32.25" customHeight="1" x14ac:dyDescent="0.15">
      <c r="C12" s="294" t="s">
        <v>145</v>
      </c>
      <c r="E12" s="305"/>
      <c r="F12" s="304" t="s">
        <v>155</v>
      </c>
      <c r="I12" s="208"/>
      <c r="J12" s="208"/>
      <c r="O12" s="306"/>
    </row>
    <row r="13" spans="3:20" ht="20.25" customHeight="1" x14ac:dyDescent="0.15">
      <c r="D13" s="307" t="s">
        <v>153</v>
      </c>
      <c r="I13" s="208"/>
      <c r="J13" s="208"/>
    </row>
    <row r="14" spans="3:20" ht="9.9499999999999993" customHeight="1" thickBot="1" x14ac:dyDescent="0.2">
      <c r="D14" s="308">
        <v>1</v>
      </c>
      <c r="E14" s="309">
        <v>2</v>
      </c>
      <c r="F14" s="309">
        <v>3</v>
      </c>
      <c r="G14" s="308">
        <v>4</v>
      </c>
      <c r="H14" s="309">
        <v>5</v>
      </c>
      <c r="I14" s="309">
        <v>6</v>
      </c>
      <c r="J14" s="308">
        <v>7</v>
      </c>
      <c r="K14" s="309">
        <v>8</v>
      </c>
      <c r="L14" s="309">
        <v>9</v>
      </c>
      <c r="M14" s="308">
        <v>10</v>
      </c>
      <c r="N14" s="309">
        <v>11</v>
      </c>
      <c r="O14" s="309">
        <v>12</v>
      </c>
      <c r="P14" s="308">
        <v>13</v>
      </c>
      <c r="Q14" s="309">
        <v>14</v>
      </c>
    </row>
    <row r="15" spans="3:20" ht="42.75" customHeight="1" thickBot="1" x14ac:dyDescent="0.2">
      <c r="C15" s="816" t="s">
        <v>141</v>
      </c>
      <c r="D15" s="817"/>
      <c r="E15" s="802" t="s">
        <v>122</v>
      </c>
      <c r="F15" s="802"/>
      <c r="G15" s="802"/>
      <c r="H15" s="803"/>
      <c r="I15" s="804" t="s">
        <v>123</v>
      </c>
      <c r="J15" s="805"/>
      <c r="K15" s="805"/>
      <c r="L15" s="806"/>
      <c r="M15" s="795" t="s">
        <v>133</v>
      </c>
      <c r="N15" s="796"/>
      <c r="O15" s="796"/>
      <c r="P15" s="796"/>
      <c r="Q15" s="793" t="s">
        <v>156</v>
      </c>
    </row>
    <row r="16" spans="3:20" ht="30" customHeight="1" thickBot="1" x14ac:dyDescent="0.2">
      <c r="C16" s="818"/>
      <c r="D16" s="819"/>
      <c r="E16" s="310" t="s">
        <v>124</v>
      </c>
      <c r="F16" s="311" t="s">
        <v>125</v>
      </c>
      <c r="G16" s="312" t="s">
        <v>126</v>
      </c>
      <c r="H16" s="313" t="s">
        <v>128</v>
      </c>
      <c r="I16" s="314" t="s">
        <v>124</v>
      </c>
      <c r="J16" s="315" t="s">
        <v>125</v>
      </c>
      <c r="K16" s="316" t="s">
        <v>126</v>
      </c>
      <c r="L16" s="317" t="s">
        <v>128</v>
      </c>
      <c r="M16" s="318" t="s">
        <v>127</v>
      </c>
      <c r="N16" s="319" t="s">
        <v>125</v>
      </c>
      <c r="O16" s="320" t="s">
        <v>126</v>
      </c>
      <c r="P16" s="321" t="s">
        <v>128</v>
      </c>
      <c r="Q16" s="794"/>
      <c r="T16" s="322"/>
    </row>
    <row r="17" spans="3:17" ht="30" customHeight="1" thickBot="1" x14ac:dyDescent="0.2">
      <c r="C17" s="323">
        <v>1</v>
      </c>
      <c r="D17" s="324" t="s">
        <v>137</v>
      </c>
      <c r="E17" s="325">
        <v>7.3999999999999996E-2</v>
      </c>
      <c r="F17" s="326">
        <v>26600</v>
      </c>
      <c r="G17" s="327">
        <v>24500</v>
      </c>
      <c r="H17" s="327">
        <v>650000</v>
      </c>
      <c r="I17" s="328">
        <v>0.03</v>
      </c>
      <c r="J17" s="326">
        <v>10200</v>
      </c>
      <c r="K17" s="327">
        <v>8200</v>
      </c>
      <c r="L17" s="327">
        <v>200000</v>
      </c>
      <c r="M17" s="329">
        <v>0.03</v>
      </c>
      <c r="N17" s="326">
        <v>17800</v>
      </c>
      <c r="O17" s="330">
        <v>0</v>
      </c>
      <c r="P17" s="331">
        <v>170000</v>
      </c>
      <c r="Q17" s="332" t="s">
        <v>143</v>
      </c>
    </row>
    <row r="18" spans="3:17" ht="30" customHeight="1" thickBot="1" x14ac:dyDescent="0.2">
      <c r="C18" s="323">
        <v>2</v>
      </c>
      <c r="D18" s="324" t="s">
        <v>151</v>
      </c>
      <c r="E18" s="333">
        <v>7.6999999999999999E-2</v>
      </c>
      <c r="F18" s="334">
        <v>26400</v>
      </c>
      <c r="G18" s="335">
        <v>21600</v>
      </c>
      <c r="H18" s="335">
        <v>630000</v>
      </c>
      <c r="I18" s="336">
        <v>2.8000000000000001E-2</v>
      </c>
      <c r="J18" s="334">
        <v>8400</v>
      </c>
      <c r="K18" s="335">
        <v>7200</v>
      </c>
      <c r="L18" s="335">
        <v>190000</v>
      </c>
      <c r="M18" s="337">
        <v>2.7E-2</v>
      </c>
      <c r="N18" s="334">
        <v>18000</v>
      </c>
      <c r="O18" s="338">
        <v>0</v>
      </c>
      <c r="P18" s="339">
        <v>170000</v>
      </c>
      <c r="Q18" s="332" t="s">
        <v>143</v>
      </c>
    </row>
    <row r="19" spans="3:17" ht="30" customHeight="1" thickBot="1" x14ac:dyDescent="0.2">
      <c r="C19" s="323">
        <v>3</v>
      </c>
      <c r="D19" s="324" t="s">
        <v>144</v>
      </c>
      <c r="E19" s="333">
        <v>7.9000000000000001E-2</v>
      </c>
      <c r="F19" s="334">
        <v>19621</v>
      </c>
      <c r="G19" s="335">
        <v>33528</v>
      </c>
      <c r="H19" s="335">
        <v>510000</v>
      </c>
      <c r="I19" s="336">
        <v>2.8799999999999999E-2</v>
      </c>
      <c r="J19" s="334">
        <v>6768</v>
      </c>
      <c r="K19" s="335">
        <v>11565</v>
      </c>
      <c r="L19" s="335">
        <v>140000</v>
      </c>
      <c r="M19" s="337">
        <v>2.7E-2</v>
      </c>
      <c r="N19" s="334">
        <v>7824</v>
      </c>
      <c r="O19" s="338">
        <v>0</v>
      </c>
      <c r="P19" s="339">
        <v>120000</v>
      </c>
      <c r="Q19" s="332" t="s">
        <v>143</v>
      </c>
    </row>
    <row r="20" spans="3:17" ht="30" customHeight="1" thickBot="1" x14ac:dyDescent="0.2">
      <c r="C20" s="323">
        <v>4</v>
      </c>
      <c r="D20" s="324"/>
      <c r="E20" s="333"/>
      <c r="F20" s="334"/>
      <c r="G20" s="335"/>
      <c r="H20" s="335"/>
      <c r="I20" s="336"/>
      <c r="J20" s="334"/>
      <c r="K20" s="335"/>
      <c r="L20" s="335"/>
      <c r="M20" s="337"/>
      <c r="N20" s="334"/>
      <c r="O20" s="338">
        <v>0</v>
      </c>
      <c r="P20" s="339"/>
      <c r="Q20" s="340"/>
    </row>
    <row r="21" spans="3:17" ht="30" customHeight="1" thickBot="1" x14ac:dyDescent="0.2">
      <c r="C21" s="323">
        <v>5</v>
      </c>
      <c r="D21" s="324"/>
      <c r="E21" s="333"/>
      <c r="F21" s="334"/>
      <c r="G21" s="335"/>
      <c r="H21" s="335"/>
      <c r="I21" s="336"/>
      <c r="J21" s="334"/>
      <c r="K21" s="335"/>
      <c r="L21" s="335"/>
      <c r="M21" s="337"/>
      <c r="N21" s="334"/>
      <c r="O21" s="338">
        <v>0</v>
      </c>
      <c r="P21" s="339"/>
      <c r="Q21" s="340"/>
    </row>
    <row r="22" spans="3:17" ht="30" customHeight="1" thickBot="1" x14ac:dyDescent="0.2">
      <c r="C22" s="323">
        <v>6</v>
      </c>
      <c r="D22" s="324"/>
      <c r="E22" s="333"/>
      <c r="F22" s="334"/>
      <c r="G22" s="335"/>
      <c r="H22" s="335"/>
      <c r="I22" s="336"/>
      <c r="J22" s="334"/>
      <c r="K22" s="335"/>
      <c r="L22" s="335"/>
      <c r="M22" s="337"/>
      <c r="N22" s="334"/>
      <c r="O22" s="338">
        <v>0</v>
      </c>
      <c r="P22" s="339"/>
      <c r="Q22" s="340"/>
    </row>
    <row r="23" spans="3:17" ht="30" customHeight="1" thickBot="1" x14ac:dyDescent="0.2">
      <c r="C23" s="323">
        <v>7</v>
      </c>
      <c r="D23" s="324"/>
      <c r="E23" s="333"/>
      <c r="F23" s="334"/>
      <c r="G23" s="335"/>
      <c r="H23" s="335"/>
      <c r="I23" s="336"/>
      <c r="J23" s="334"/>
      <c r="K23" s="335"/>
      <c r="L23" s="335"/>
      <c r="M23" s="337"/>
      <c r="N23" s="334"/>
      <c r="O23" s="338">
        <v>0</v>
      </c>
      <c r="P23" s="339"/>
      <c r="Q23" s="340"/>
    </row>
    <row r="24" spans="3:17" ht="30" customHeight="1" thickBot="1" x14ac:dyDescent="0.2">
      <c r="C24" s="323">
        <v>8</v>
      </c>
      <c r="D24" s="324"/>
      <c r="E24" s="333"/>
      <c r="F24" s="334"/>
      <c r="G24" s="335"/>
      <c r="H24" s="335"/>
      <c r="I24" s="336"/>
      <c r="J24" s="334"/>
      <c r="K24" s="335"/>
      <c r="L24" s="335"/>
      <c r="M24" s="337"/>
      <c r="N24" s="334"/>
      <c r="O24" s="338">
        <v>0</v>
      </c>
      <c r="P24" s="339"/>
      <c r="Q24" s="340"/>
    </row>
    <row r="25" spans="3:17" ht="30" customHeight="1" thickBot="1" x14ac:dyDescent="0.2">
      <c r="C25" s="323">
        <v>9</v>
      </c>
      <c r="D25" s="324"/>
      <c r="E25" s="333"/>
      <c r="F25" s="334"/>
      <c r="G25" s="335"/>
      <c r="H25" s="335"/>
      <c r="I25" s="336"/>
      <c r="J25" s="334"/>
      <c r="K25" s="335"/>
      <c r="L25" s="335"/>
      <c r="M25" s="337"/>
      <c r="N25" s="334"/>
      <c r="O25" s="338">
        <v>0</v>
      </c>
      <c r="P25" s="339"/>
      <c r="Q25" s="340"/>
    </row>
    <row r="26" spans="3:17" ht="30" customHeight="1" thickBot="1" x14ac:dyDescent="0.2">
      <c r="C26" s="323">
        <v>10</v>
      </c>
      <c r="D26" s="324"/>
      <c r="E26" s="333"/>
      <c r="F26" s="334"/>
      <c r="G26" s="335"/>
      <c r="H26" s="335"/>
      <c r="I26" s="336"/>
      <c r="J26" s="334"/>
      <c r="K26" s="335"/>
      <c r="L26" s="335"/>
      <c r="M26" s="337"/>
      <c r="N26" s="334"/>
      <c r="O26" s="338">
        <v>0</v>
      </c>
      <c r="P26" s="339"/>
      <c r="Q26" s="340"/>
    </row>
    <row r="27" spans="3:17" ht="30" customHeight="1" thickBot="1" x14ac:dyDescent="0.2">
      <c r="C27" s="323">
        <v>11</v>
      </c>
      <c r="D27" s="324"/>
      <c r="E27" s="333"/>
      <c r="F27" s="334"/>
      <c r="G27" s="335"/>
      <c r="H27" s="335"/>
      <c r="I27" s="336"/>
      <c r="J27" s="334"/>
      <c r="K27" s="335"/>
      <c r="L27" s="335"/>
      <c r="M27" s="337"/>
      <c r="N27" s="334"/>
      <c r="O27" s="338">
        <v>0</v>
      </c>
      <c r="P27" s="339"/>
      <c r="Q27" s="340"/>
    </row>
    <row r="28" spans="3:17" ht="30" customHeight="1" thickBot="1" x14ac:dyDescent="0.2">
      <c r="C28" s="323">
        <v>12</v>
      </c>
      <c r="D28" s="324"/>
      <c r="E28" s="333"/>
      <c r="F28" s="334"/>
      <c r="G28" s="335"/>
      <c r="H28" s="335"/>
      <c r="I28" s="336"/>
      <c r="J28" s="334"/>
      <c r="K28" s="335"/>
      <c r="L28" s="335"/>
      <c r="M28" s="337"/>
      <c r="N28" s="334"/>
      <c r="O28" s="338">
        <v>0</v>
      </c>
      <c r="P28" s="339"/>
      <c r="Q28" s="340"/>
    </row>
    <row r="29" spans="3:17" ht="30" customHeight="1" thickBot="1" x14ac:dyDescent="0.2">
      <c r="C29" s="323">
        <v>13</v>
      </c>
      <c r="D29" s="324"/>
      <c r="E29" s="333"/>
      <c r="F29" s="334"/>
      <c r="G29" s="335"/>
      <c r="H29" s="335"/>
      <c r="I29" s="336"/>
      <c r="J29" s="334"/>
      <c r="K29" s="335"/>
      <c r="L29" s="335"/>
      <c r="M29" s="337"/>
      <c r="N29" s="334"/>
      <c r="O29" s="338">
        <v>0</v>
      </c>
      <c r="P29" s="339"/>
      <c r="Q29" s="340"/>
    </row>
    <row r="30" spans="3:17" ht="30" customHeight="1" thickBot="1" x14ac:dyDescent="0.2">
      <c r="C30" s="323">
        <v>14</v>
      </c>
      <c r="D30" s="324"/>
      <c r="E30" s="333"/>
      <c r="F30" s="334"/>
      <c r="G30" s="335"/>
      <c r="H30" s="335"/>
      <c r="I30" s="336"/>
      <c r="J30" s="334"/>
      <c r="K30" s="335"/>
      <c r="L30" s="335"/>
      <c r="M30" s="337"/>
      <c r="N30" s="334"/>
      <c r="O30" s="338">
        <v>0</v>
      </c>
      <c r="P30" s="339"/>
      <c r="Q30" s="340"/>
    </row>
    <row r="31" spans="3:17" ht="30" customHeight="1" thickBot="1" x14ac:dyDescent="0.2">
      <c r="C31" s="323">
        <v>15</v>
      </c>
      <c r="D31" s="324"/>
      <c r="E31" s="333"/>
      <c r="F31" s="334"/>
      <c r="G31" s="335"/>
      <c r="H31" s="335"/>
      <c r="I31" s="336"/>
      <c r="J31" s="334"/>
      <c r="K31" s="335"/>
      <c r="L31" s="335"/>
      <c r="M31" s="337"/>
      <c r="N31" s="334"/>
      <c r="O31" s="338">
        <v>0</v>
      </c>
      <c r="P31" s="339"/>
      <c r="Q31" s="340"/>
    </row>
    <row r="32" spans="3:17" ht="13.5" customHeight="1" x14ac:dyDescent="0.15">
      <c r="C32" s="341"/>
      <c r="E32" s="342"/>
      <c r="F32" s="343"/>
      <c r="G32" s="341"/>
      <c r="I32" s="342"/>
      <c r="J32" s="343"/>
      <c r="L32" s="342"/>
      <c r="M32" s="342"/>
    </row>
    <row r="33" spans="3:14" ht="30" customHeight="1" thickBot="1" x14ac:dyDescent="0.2">
      <c r="C33" s="294" t="s">
        <v>146</v>
      </c>
      <c r="D33" s="344"/>
      <c r="F33" s="298" t="s">
        <v>83</v>
      </c>
      <c r="G33" s="344"/>
      <c r="H33" s="344"/>
    </row>
    <row r="34" spans="3:14" ht="30" customHeight="1" x14ac:dyDescent="0.15">
      <c r="C34" s="807" t="s">
        <v>134</v>
      </c>
      <c r="D34" s="808"/>
      <c r="E34" s="800">
        <v>16520</v>
      </c>
      <c r="F34" s="344"/>
      <c r="G34" s="344"/>
      <c r="H34" s="344"/>
    </row>
    <row r="35" spans="3:14" ht="30" customHeight="1" thickBot="1" x14ac:dyDescent="0.2">
      <c r="C35" s="809"/>
      <c r="D35" s="810"/>
      <c r="E35" s="801"/>
      <c r="F35" s="344"/>
      <c r="G35" s="344"/>
      <c r="H35" s="344"/>
    </row>
    <row r="36" spans="3:14" ht="30" customHeight="1" x14ac:dyDescent="0.15"/>
    <row r="37" spans="3:14" ht="30" customHeight="1" x14ac:dyDescent="0.15">
      <c r="C37" s="294" t="s">
        <v>147</v>
      </c>
      <c r="F37" s="304" t="s">
        <v>140</v>
      </c>
      <c r="G37" s="216"/>
      <c r="L37" s="322"/>
    </row>
    <row r="38" spans="3:14" ht="9.9499999999999993" customHeight="1" thickBot="1" x14ac:dyDescent="0.2">
      <c r="C38" s="294"/>
      <c r="D38" s="308">
        <v>1</v>
      </c>
      <c r="E38" s="309">
        <v>2</v>
      </c>
      <c r="F38" s="309">
        <v>3</v>
      </c>
      <c r="G38" s="308">
        <v>4</v>
      </c>
      <c r="H38" s="309">
        <v>5</v>
      </c>
      <c r="I38" s="309">
        <v>6</v>
      </c>
      <c r="J38" s="308">
        <v>7</v>
      </c>
      <c r="K38" s="309">
        <v>8</v>
      </c>
      <c r="L38" s="309">
        <v>9</v>
      </c>
    </row>
    <row r="39" spans="3:14" ht="30" customHeight="1" thickBot="1" x14ac:dyDescent="0.2">
      <c r="C39" s="294"/>
      <c r="D39" s="308"/>
      <c r="E39" s="309"/>
      <c r="F39" s="309"/>
      <c r="G39" s="308"/>
      <c r="H39" s="309"/>
      <c r="I39" s="309"/>
      <c r="J39" s="820" t="s">
        <v>157</v>
      </c>
      <c r="K39" s="821"/>
      <c r="L39" s="309"/>
      <c r="N39" s="345"/>
    </row>
    <row r="40" spans="3:14" ht="30" customHeight="1" thickBot="1" x14ac:dyDescent="0.2">
      <c r="C40" s="798" t="s">
        <v>201</v>
      </c>
      <c r="D40" s="799"/>
      <c r="E40" s="346" t="s">
        <v>64</v>
      </c>
      <c r="F40" s="346" t="s">
        <v>67</v>
      </c>
      <c r="G40" s="347" t="s">
        <v>68</v>
      </c>
      <c r="H40" s="348" t="s">
        <v>69</v>
      </c>
      <c r="I40" s="346" t="s">
        <v>139</v>
      </c>
      <c r="J40" s="346" t="s">
        <v>81</v>
      </c>
      <c r="K40" s="346" t="s">
        <v>66</v>
      </c>
      <c r="L40" s="349"/>
      <c r="N40" s="345"/>
    </row>
    <row r="41" spans="3:14" ht="30" customHeight="1" thickBot="1" x14ac:dyDescent="0.2">
      <c r="C41" s="350">
        <v>1</v>
      </c>
      <c r="D41" s="351" t="s">
        <v>137</v>
      </c>
      <c r="E41" s="352">
        <v>2000</v>
      </c>
      <c r="F41" s="353">
        <v>3500</v>
      </c>
      <c r="G41" s="354">
        <v>0.04</v>
      </c>
      <c r="H41" s="355">
        <v>0.06</v>
      </c>
      <c r="I41" s="289">
        <f t="shared" ref="I41:I55" si="0">IF($D41="","",$G41+$H41)</f>
        <v>0.1</v>
      </c>
      <c r="J41" s="356">
        <v>965000</v>
      </c>
      <c r="K41" s="356">
        <v>1000000</v>
      </c>
      <c r="L41" s="357" t="s">
        <v>143</v>
      </c>
    </row>
    <row r="42" spans="3:14" ht="30" customHeight="1" thickBot="1" x14ac:dyDescent="0.2">
      <c r="C42" s="350">
        <v>2</v>
      </c>
      <c r="D42" s="351" t="s">
        <v>150</v>
      </c>
      <c r="E42" s="352">
        <v>2000</v>
      </c>
      <c r="F42" s="353">
        <v>3500</v>
      </c>
      <c r="G42" s="354">
        <v>0.04</v>
      </c>
      <c r="H42" s="355">
        <v>0.06</v>
      </c>
      <c r="I42" s="289">
        <f t="shared" si="0"/>
        <v>0.1</v>
      </c>
      <c r="J42" s="356">
        <v>965000</v>
      </c>
      <c r="K42" s="356">
        <v>1000000</v>
      </c>
      <c r="L42" s="357" t="s">
        <v>143</v>
      </c>
    </row>
    <row r="43" spans="3:14" ht="30" customHeight="1" thickBot="1" x14ac:dyDescent="0.2">
      <c r="C43" s="350">
        <v>3</v>
      </c>
      <c r="D43" s="351" t="s">
        <v>144</v>
      </c>
      <c r="E43" s="352">
        <v>1800</v>
      </c>
      <c r="F43" s="353">
        <v>3500</v>
      </c>
      <c r="G43" s="354">
        <v>0.02</v>
      </c>
      <c r="H43" s="355">
        <v>0.08</v>
      </c>
      <c r="I43" s="289">
        <f t="shared" si="0"/>
        <v>0.1</v>
      </c>
      <c r="J43" s="356">
        <v>1000000</v>
      </c>
      <c r="K43" s="356">
        <v>1000000</v>
      </c>
      <c r="L43" s="357" t="s">
        <v>143</v>
      </c>
    </row>
    <row r="44" spans="3:14" ht="30" customHeight="1" thickBot="1" x14ac:dyDescent="0.2">
      <c r="C44" s="350">
        <v>4</v>
      </c>
      <c r="D44" s="351"/>
      <c r="E44" s="352"/>
      <c r="F44" s="353"/>
      <c r="G44" s="354"/>
      <c r="H44" s="355"/>
      <c r="I44" s="289" t="str">
        <f t="shared" si="0"/>
        <v/>
      </c>
      <c r="J44" s="356"/>
      <c r="K44" s="356"/>
      <c r="L44" s="357"/>
    </row>
    <row r="45" spans="3:14" ht="30" customHeight="1" thickBot="1" x14ac:dyDescent="0.2">
      <c r="C45" s="350">
        <v>5</v>
      </c>
      <c r="D45" s="351"/>
      <c r="E45" s="352"/>
      <c r="F45" s="353"/>
      <c r="G45" s="354"/>
      <c r="H45" s="355"/>
      <c r="I45" s="289" t="str">
        <f t="shared" si="0"/>
        <v/>
      </c>
      <c r="J45" s="358"/>
      <c r="K45" s="358"/>
      <c r="L45" s="332"/>
    </row>
    <row r="46" spans="3:14" ht="30" customHeight="1" thickBot="1" x14ac:dyDescent="0.2">
      <c r="C46" s="350">
        <v>6</v>
      </c>
      <c r="D46" s="351"/>
      <c r="E46" s="352"/>
      <c r="F46" s="353"/>
      <c r="G46" s="354"/>
      <c r="H46" s="355"/>
      <c r="I46" s="289" t="str">
        <f t="shared" si="0"/>
        <v/>
      </c>
      <c r="J46" s="358"/>
      <c r="K46" s="358"/>
      <c r="L46" s="340"/>
    </row>
    <row r="47" spans="3:14" ht="30" customHeight="1" thickBot="1" x14ac:dyDescent="0.2">
      <c r="C47" s="350">
        <v>7</v>
      </c>
      <c r="D47" s="351"/>
      <c r="E47" s="352"/>
      <c r="F47" s="353"/>
      <c r="G47" s="354"/>
      <c r="H47" s="355"/>
      <c r="I47" s="289" t="str">
        <f t="shared" si="0"/>
        <v/>
      </c>
      <c r="J47" s="359"/>
      <c r="K47" s="359"/>
      <c r="L47" s="360"/>
    </row>
    <row r="48" spans="3:14" ht="30" customHeight="1" thickBot="1" x14ac:dyDescent="0.2">
      <c r="C48" s="350">
        <v>8</v>
      </c>
      <c r="D48" s="351"/>
      <c r="E48" s="352"/>
      <c r="F48" s="353"/>
      <c r="G48" s="354"/>
      <c r="H48" s="355"/>
      <c r="I48" s="289" t="str">
        <f t="shared" si="0"/>
        <v/>
      </c>
      <c r="J48" s="359"/>
      <c r="K48" s="359"/>
      <c r="L48" s="360"/>
    </row>
    <row r="49" spans="3:12" ht="30" customHeight="1" thickBot="1" x14ac:dyDescent="0.2">
      <c r="C49" s="350">
        <v>9</v>
      </c>
      <c r="D49" s="351"/>
      <c r="E49" s="352"/>
      <c r="F49" s="353"/>
      <c r="G49" s="354"/>
      <c r="H49" s="355"/>
      <c r="I49" s="289" t="str">
        <f t="shared" si="0"/>
        <v/>
      </c>
      <c r="J49" s="359"/>
      <c r="K49" s="359"/>
      <c r="L49" s="360"/>
    </row>
    <row r="50" spans="3:12" ht="30" customHeight="1" thickBot="1" x14ac:dyDescent="0.2">
      <c r="C50" s="350">
        <v>10</v>
      </c>
      <c r="D50" s="351"/>
      <c r="E50" s="352"/>
      <c r="F50" s="353"/>
      <c r="G50" s="354"/>
      <c r="H50" s="355"/>
      <c r="I50" s="289" t="str">
        <f t="shared" si="0"/>
        <v/>
      </c>
      <c r="J50" s="359"/>
      <c r="K50" s="359"/>
      <c r="L50" s="360"/>
    </row>
    <row r="51" spans="3:12" ht="30" customHeight="1" thickBot="1" x14ac:dyDescent="0.2">
      <c r="C51" s="350">
        <v>11</v>
      </c>
      <c r="D51" s="351"/>
      <c r="E51" s="352"/>
      <c r="F51" s="353"/>
      <c r="G51" s="354"/>
      <c r="H51" s="355"/>
      <c r="I51" s="289" t="str">
        <f t="shared" si="0"/>
        <v/>
      </c>
      <c r="J51" s="359"/>
      <c r="K51" s="359"/>
      <c r="L51" s="360"/>
    </row>
    <row r="52" spans="3:12" ht="30" customHeight="1" thickBot="1" x14ac:dyDescent="0.2">
      <c r="C52" s="350">
        <v>12</v>
      </c>
      <c r="D52" s="351"/>
      <c r="E52" s="352"/>
      <c r="F52" s="353"/>
      <c r="G52" s="354"/>
      <c r="H52" s="355"/>
      <c r="I52" s="289" t="str">
        <f t="shared" si="0"/>
        <v/>
      </c>
      <c r="J52" s="359"/>
      <c r="K52" s="359"/>
      <c r="L52" s="360"/>
    </row>
    <row r="53" spans="3:12" ht="30" customHeight="1" thickBot="1" x14ac:dyDescent="0.2">
      <c r="C53" s="350">
        <v>13</v>
      </c>
      <c r="D53" s="351"/>
      <c r="E53" s="352"/>
      <c r="F53" s="353"/>
      <c r="G53" s="354"/>
      <c r="H53" s="355"/>
      <c r="I53" s="289" t="str">
        <f t="shared" si="0"/>
        <v/>
      </c>
      <c r="J53" s="359"/>
      <c r="K53" s="359"/>
      <c r="L53" s="360"/>
    </row>
    <row r="54" spans="3:12" ht="30" customHeight="1" thickBot="1" x14ac:dyDescent="0.2">
      <c r="C54" s="350">
        <v>14</v>
      </c>
      <c r="D54" s="351"/>
      <c r="E54" s="352"/>
      <c r="F54" s="353"/>
      <c r="G54" s="354"/>
      <c r="H54" s="355"/>
      <c r="I54" s="289" t="str">
        <f t="shared" si="0"/>
        <v/>
      </c>
      <c r="J54" s="359"/>
      <c r="K54" s="359"/>
      <c r="L54" s="360"/>
    </row>
    <row r="55" spans="3:12" ht="30" customHeight="1" thickBot="1" x14ac:dyDescent="0.2">
      <c r="C55" s="350">
        <v>15</v>
      </c>
      <c r="D55" s="351"/>
      <c r="E55" s="352"/>
      <c r="F55" s="353"/>
      <c r="G55" s="354"/>
      <c r="H55" s="355"/>
      <c r="I55" s="289" t="str">
        <f t="shared" si="0"/>
        <v/>
      </c>
      <c r="J55" s="359"/>
      <c r="K55" s="359"/>
      <c r="L55" s="360"/>
    </row>
    <row r="56" spans="3:12" ht="17.25" x14ac:dyDescent="0.15">
      <c r="H56" s="361"/>
      <c r="I56" s="362"/>
      <c r="J56" s="362"/>
    </row>
    <row r="57" spans="3:12" ht="17.25" x14ac:dyDescent="0.15">
      <c r="H57" s="361"/>
      <c r="I57" s="362"/>
      <c r="J57" s="362"/>
    </row>
    <row r="58" spans="3:12" ht="17.25" x14ac:dyDescent="0.15">
      <c r="H58" s="361"/>
      <c r="I58" s="362"/>
      <c r="J58" s="362"/>
    </row>
  </sheetData>
  <sheetProtection sheet="1" objects="1" scenarios="1"/>
  <mergeCells count="13">
    <mergeCell ref="Q15:Q16"/>
    <mergeCell ref="M15:P15"/>
    <mergeCell ref="H2:I2"/>
    <mergeCell ref="C40:D40"/>
    <mergeCell ref="E34:E35"/>
    <mergeCell ref="E15:H15"/>
    <mergeCell ref="I15:L15"/>
    <mergeCell ref="C34:D35"/>
    <mergeCell ref="G5:J5"/>
    <mergeCell ref="C5:D5"/>
    <mergeCell ref="C6:D6"/>
    <mergeCell ref="C15:D16"/>
    <mergeCell ref="J39:K39"/>
  </mergeCells>
  <phoneticPr fontId="3"/>
  <printOptions horizontalCentered="1" verticalCentered="1"/>
  <pageMargins left="0.59055118110236227" right="0.59055118110236227" top="0.78740157480314965" bottom="0.59055118110236227" header="0.51181102362204722" footer="0.51181102362204722"/>
  <pageSetup paperSize="9" scale="64" orientation="landscape" r:id="rId1"/>
  <headerFooter alignWithMargins="0">
    <oddFooter>&amp;C&amp;P</oddFooter>
  </headerFooter>
  <rowBreaks count="1" manualBreakCount="1">
    <brk id="31" min="2"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8E6B-0B64-4CA5-B8C8-390753F0419B}">
  <sheetPr>
    <tabColor rgb="FFFFFF00"/>
  </sheetPr>
  <dimension ref="B2:L95"/>
  <sheetViews>
    <sheetView showGridLines="0" zoomScaleNormal="100" workbookViewId="0">
      <selection activeCell="C2" sqref="C2"/>
    </sheetView>
  </sheetViews>
  <sheetFormatPr defaultRowHeight="13.5" x14ac:dyDescent="0.15"/>
  <cols>
    <col min="1" max="1" width="3.875" customWidth="1"/>
    <col min="2" max="2" width="7.5" customWidth="1"/>
    <col min="3" max="3" width="28.5" customWidth="1"/>
    <col min="4" max="4" width="16.75" customWidth="1"/>
    <col min="5" max="6" width="32.625" customWidth="1"/>
    <col min="7" max="7" width="38.875" customWidth="1"/>
    <col min="8" max="8" width="32.625" customWidth="1"/>
    <col min="9" max="11" width="20.125" customWidth="1"/>
    <col min="12" max="16" width="10.625" customWidth="1"/>
  </cols>
  <sheetData>
    <row r="2" spans="2:8" ht="21" customHeight="1" x14ac:dyDescent="0.15"/>
    <row r="3" spans="2:8" ht="21" customHeight="1" x14ac:dyDescent="0.15">
      <c r="C3" s="147"/>
    </row>
    <row r="4" spans="2:8" ht="29.25" customHeight="1" x14ac:dyDescent="0.15">
      <c r="B4" s="363" t="s">
        <v>232</v>
      </c>
      <c r="C4" s="364"/>
      <c r="D4" s="364"/>
      <c r="E4" s="365"/>
      <c r="G4" s="564" t="s">
        <v>288</v>
      </c>
    </row>
    <row r="5" spans="2:8" ht="24.95" customHeight="1" thickBot="1" x14ac:dyDescent="0.2">
      <c r="B5" s="366" t="s">
        <v>231</v>
      </c>
      <c r="C5" s="366" t="s">
        <v>228</v>
      </c>
      <c r="D5" s="367" t="s">
        <v>225</v>
      </c>
      <c r="E5" s="367" t="s">
        <v>343</v>
      </c>
      <c r="F5" s="367" t="s">
        <v>344</v>
      </c>
      <c r="G5" s="367" t="s">
        <v>345</v>
      </c>
      <c r="H5" s="368" t="s">
        <v>230</v>
      </c>
    </row>
    <row r="6" spans="2:8" ht="21" customHeight="1" thickTop="1" x14ac:dyDescent="0.15">
      <c r="B6" s="833">
        <v>1</v>
      </c>
      <c r="C6" s="836" t="s">
        <v>357</v>
      </c>
      <c r="D6" s="369" t="s">
        <v>226</v>
      </c>
      <c r="E6" s="370"/>
      <c r="F6" s="370">
        <v>2</v>
      </c>
      <c r="G6" s="370"/>
      <c r="H6" s="824" t="s">
        <v>354</v>
      </c>
    </row>
    <row r="7" spans="2:8" ht="21" customHeight="1" x14ac:dyDescent="0.15">
      <c r="B7" s="834"/>
      <c r="C7" s="837"/>
      <c r="D7" s="830" t="s">
        <v>224</v>
      </c>
      <c r="E7" s="371"/>
      <c r="F7" s="371"/>
      <c r="G7" s="371"/>
      <c r="H7" s="825"/>
    </row>
    <row r="8" spans="2:8" ht="39.950000000000003" customHeight="1" x14ac:dyDescent="0.15">
      <c r="B8" s="834"/>
      <c r="C8" s="838"/>
      <c r="D8" s="831"/>
      <c r="E8" s="827"/>
      <c r="F8" s="827" t="s">
        <v>349</v>
      </c>
      <c r="G8" s="827"/>
      <c r="H8" s="825"/>
    </row>
    <row r="9" spans="2:8" ht="69.75" customHeight="1" thickBot="1" x14ac:dyDescent="0.2">
      <c r="B9" s="835"/>
      <c r="C9" s="839"/>
      <c r="D9" s="832"/>
      <c r="E9" s="828"/>
      <c r="F9" s="828"/>
      <c r="G9" s="828"/>
      <c r="H9" s="825"/>
    </row>
    <row r="10" spans="2:8" ht="24.95" customHeight="1" thickTop="1" x14ac:dyDescent="0.15">
      <c r="B10" s="833">
        <v>2</v>
      </c>
      <c r="C10" s="836" t="s">
        <v>358</v>
      </c>
      <c r="D10" s="369" t="s">
        <v>226</v>
      </c>
      <c r="E10" s="370"/>
      <c r="F10" s="370">
        <v>2</v>
      </c>
      <c r="G10" s="370"/>
      <c r="H10" s="824" t="s">
        <v>354</v>
      </c>
    </row>
    <row r="11" spans="2:8" ht="24.95" customHeight="1" x14ac:dyDescent="0.15">
      <c r="B11" s="834"/>
      <c r="C11" s="837"/>
      <c r="D11" s="830" t="s">
        <v>224</v>
      </c>
      <c r="E11" s="371"/>
      <c r="F11" s="371"/>
      <c r="G11" s="371"/>
      <c r="H11" s="825"/>
    </row>
    <row r="12" spans="2:8" ht="39.950000000000003" customHeight="1" x14ac:dyDescent="0.15">
      <c r="B12" s="834"/>
      <c r="C12" s="838"/>
      <c r="D12" s="831"/>
      <c r="E12" s="827"/>
      <c r="F12" s="827" t="s">
        <v>349</v>
      </c>
      <c r="G12" s="827"/>
      <c r="H12" s="825"/>
    </row>
    <row r="13" spans="2:8" ht="69.75" customHeight="1" thickBot="1" x14ac:dyDescent="0.2">
      <c r="B13" s="835"/>
      <c r="C13" s="839"/>
      <c r="D13" s="832"/>
      <c r="E13" s="828"/>
      <c r="F13" s="828"/>
      <c r="G13" s="828"/>
      <c r="H13" s="825"/>
    </row>
    <row r="14" spans="2:8" ht="24.95" customHeight="1" thickTop="1" x14ac:dyDescent="0.15">
      <c r="B14" s="829">
        <v>3</v>
      </c>
      <c r="C14" s="840" t="s">
        <v>359</v>
      </c>
      <c r="D14" s="369" t="s">
        <v>226</v>
      </c>
      <c r="E14" s="370">
        <v>1</v>
      </c>
      <c r="F14" s="370">
        <v>1</v>
      </c>
      <c r="G14" s="370">
        <v>1</v>
      </c>
      <c r="H14" s="824" t="s">
        <v>356</v>
      </c>
    </row>
    <row r="15" spans="2:8" ht="24.95" customHeight="1" x14ac:dyDescent="0.15">
      <c r="B15" s="829"/>
      <c r="C15" s="840"/>
      <c r="D15" s="830" t="s">
        <v>224</v>
      </c>
      <c r="E15" s="371"/>
      <c r="F15" s="371"/>
      <c r="G15" s="371"/>
      <c r="H15" s="825"/>
    </row>
    <row r="16" spans="2:8" ht="39.950000000000003" customHeight="1" x14ac:dyDescent="0.15">
      <c r="B16" s="829"/>
      <c r="C16" s="841"/>
      <c r="D16" s="831"/>
      <c r="E16" s="827" t="s">
        <v>350</v>
      </c>
      <c r="F16" s="827" t="s">
        <v>379</v>
      </c>
      <c r="G16" s="827" t="s">
        <v>351</v>
      </c>
      <c r="H16" s="825"/>
    </row>
    <row r="17" spans="2:12" ht="53.25" customHeight="1" thickBot="1" x14ac:dyDescent="0.2">
      <c r="B17" s="829"/>
      <c r="C17" s="841"/>
      <c r="D17" s="832"/>
      <c r="E17" s="828"/>
      <c r="F17" s="828"/>
      <c r="G17" s="828"/>
      <c r="H17" s="826"/>
    </row>
    <row r="18" spans="2:12" ht="21" customHeight="1" thickTop="1" x14ac:dyDescent="0.15">
      <c r="B18" s="58" t="s">
        <v>227</v>
      </c>
    </row>
    <row r="19" spans="2:12" ht="21" customHeight="1" x14ac:dyDescent="0.15"/>
    <row r="20" spans="2:12" ht="21" customHeight="1" x14ac:dyDescent="0.15">
      <c r="B20" s="223" t="s">
        <v>233</v>
      </c>
    </row>
    <row r="21" spans="2:12" ht="21" customHeight="1" x14ac:dyDescent="0.15">
      <c r="B21" s="147" t="s">
        <v>234</v>
      </c>
    </row>
    <row r="22" spans="2:12" ht="21" customHeight="1" x14ac:dyDescent="0.15">
      <c r="C22" s="58" t="s">
        <v>235</v>
      </c>
    </row>
    <row r="23" spans="2:12" ht="21" customHeight="1" x14ac:dyDescent="0.15">
      <c r="C23" s="58" t="s">
        <v>236</v>
      </c>
    </row>
    <row r="24" spans="2:12" ht="21" customHeight="1" x14ac:dyDescent="0.15">
      <c r="C24" s="58" t="s">
        <v>237</v>
      </c>
      <c r="L24" s="58"/>
    </row>
    <row r="25" spans="2:12" ht="21" customHeight="1" x14ac:dyDescent="0.15">
      <c r="C25" s="207" t="s">
        <v>238</v>
      </c>
      <c r="L25" s="58"/>
    </row>
    <row r="26" spans="2:12" ht="21" customHeight="1" x14ac:dyDescent="0.15">
      <c r="C26" s="58" t="s">
        <v>239</v>
      </c>
      <c r="L26" s="58"/>
    </row>
    <row r="27" spans="2:12" ht="21" customHeight="1" x14ac:dyDescent="0.15">
      <c r="B27" s="58"/>
      <c r="C27" s="58" t="s">
        <v>240</v>
      </c>
      <c r="L27" s="58"/>
    </row>
    <row r="28" spans="2:12" ht="21" customHeight="1" x14ac:dyDescent="0.15">
      <c r="F28" s="217" t="s">
        <v>289</v>
      </c>
      <c r="L28" s="58"/>
    </row>
    <row r="29" spans="2:12" ht="21" customHeight="1" x14ac:dyDescent="0.15">
      <c r="B29" s="147" t="s">
        <v>241</v>
      </c>
      <c r="F29" s="372" t="s">
        <v>231</v>
      </c>
      <c r="G29" s="373" t="s">
        <v>254</v>
      </c>
      <c r="H29" s="373" t="s">
        <v>257</v>
      </c>
      <c r="K29" s="58"/>
    </row>
    <row r="30" spans="2:12" ht="33" customHeight="1" x14ac:dyDescent="0.15">
      <c r="C30" s="58" t="s">
        <v>242</v>
      </c>
      <c r="F30" s="822" t="s">
        <v>352</v>
      </c>
      <c r="G30" s="565" t="s">
        <v>262</v>
      </c>
      <c r="H30" s="374">
        <v>1300000</v>
      </c>
    </row>
    <row r="31" spans="2:12" ht="33" customHeight="1" x14ac:dyDescent="0.15">
      <c r="C31" s="58" t="s">
        <v>360</v>
      </c>
      <c r="F31" s="823"/>
      <c r="G31" s="565" t="s">
        <v>255</v>
      </c>
      <c r="H31" s="374">
        <v>30</v>
      </c>
    </row>
    <row r="32" spans="2:12" ht="33" customHeight="1" x14ac:dyDescent="0.15">
      <c r="C32" s="58" t="s">
        <v>361</v>
      </c>
      <c r="F32" s="822" t="s">
        <v>353</v>
      </c>
      <c r="G32" s="565" t="s">
        <v>253</v>
      </c>
      <c r="H32" s="374">
        <v>88000</v>
      </c>
    </row>
    <row r="33" spans="2:8" ht="33" customHeight="1" x14ac:dyDescent="0.15">
      <c r="C33" s="58" t="s">
        <v>362</v>
      </c>
      <c r="F33" s="823"/>
      <c r="G33" s="565" t="s">
        <v>256</v>
      </c>
      <c r="H33" s="374">
        <v>20</v>
      </c>
    </row>
    <row r="34" spans="2:8" ht="33" customHeight="1" x14ac:dyDescent="0.15">
      <c r="F34" s="372" t="s">
        <v>260</v>
      </c>
      <c r="G34" s="565" t="s">
        <v>261</v>
      </c>
      <c r="H34" s="374">
        <v>20</v>
      </c>
    </row>
    <row r="35" spans="2:8" ht="33" customHeight="1" x14ac:dyDescent="0.15">
      <c r="F35" s="372" t="s">
        <v>294</v>
      </c>
      <c r="G35" s="566" t="s">
        <v>295</v>
      </c>
      <c r="H35" s="374">
        <v>40</v>
      </c>
    </row>
    <row r="36" spans="2:8" ht="33" customHeight="1" x14ac:dyDescent="0.15">
      <c r="F36" s="372" t="s">
        <v>296</v>
      </c>
      <c r="G36" s="566" t="s">
        <v>298</v>
      </c>
      <c r="H36" s="374">
        <v>480000</v>
      </c>
    </row>
    <row r="37" spans="2:8" ht="33" customHeight="1" x14ac:dyDescent="0.15">
      <c r="F37" s="372" t="s">
        <v>297</v>
      </c>
      <c r="G37" s="566" t="s">
        <v>299</v>
      </c>
      <c r="H37" s="374">
        <v>430000</v>
      </c>
    </row>
    <row r="38" spans="2:8" ht="21" customHeight="1" x14ac:dyDescent="0.15">
      <c r="B38" s="147" t="s">
        <v>246</v>
      </c>
    </row>
    <row r="39" spans="2:8" ht="21" customHeight="1" x14ac:dyDescent="0.15">
      <c r="C39" s="58" t="s">
        <v>243</v>
      </c>
    </row>
    <row r="40" spans="2:8" ht="21" customHeight="1" x14ac:dyDescent="0.15">
      <c r="C40" s="58" t="s">
        <v>247</v>
      </c>
    </row>
    <row r="41" spans="2:8" ht="21" customHeight="1" x14ac:dyDescent="0.15">
      <c r="C41" s="58" t="s">
        <v>244</v>
      </c>
    </row>
    <row r="42" spans="2:8" ht="21" customHeight="1" x14ac:dyDescent="0.15">
      <c r="C42" s="58" t="s">
        <v>245</v>
      </c>
    </row>
    <row r="43" spans="2:8" ht="21" customHeight="1" x14ac:dyDescent="0.15"/>
    <row r="44" spans="2:8" ht="21" customHeight="1" x14ac:dyDescent="0.15">
      <c r="B44" s="147" t="s">
        <v>248</v>
      </c>
    </row>
    <row r="45" spans="2:8" ht="21" customHeight="1" x14ac:dyDescent="0.15">
      <c r="C45" s="58" t="s">
        <v>249</v>
      </c>
    </row>
    <row r="46" spans="2:8" ht="21" customHeight="1" x14ac:dyDescent="0.15">
      <c r="C46" s="58" t="s">
        <v>250</v>
      </c>
    </row>
    <row r="47" spans="2:8" ht="21" customHeight="1" x14ac:dyDescent="0.15">
      <c r="C47" s="58" t="s">
        <v>251</v>
      </c>
    </row>
    <row r="48" spans="2:8" ht="21" customHeight="1" x14ac:dyDescent="0.15">
      <c r="C48" s="58" t="s">
        <v>252</v>
      </c>
    </row>
    <row r="49" spans="3:3" ht="9.75" customHeight="1" x14ac:dyDescent="0.15"/>
    <row r="50" spans="3:3" ht="39.75" customHeight="1" x14ac:dyDescent="0.15">
      <c r="C50" s="167" t="s">
        <v>290</v>
      </c>
    </row>
    <row r="51" spans="3:3" ht="30" customHeight="1" x14ac:dyDescent="0.15">
      <c r="C51" s="375" t="s">
        <v>291</v>
      </c>
    </row>
    <row r="52" spans="3:3" ht="21" customHeight="1" x14ac:dyDescent="0.15">
      <c r="C52" s="58"/>
    </row>
    <row r="53" spans="3:3" ht="21" customHeight="1" x14ac:dyDescent="0.15">
      <c r="C53" s="58"/>
    </row>
    <row r="54" spans="3:3" ht="21" customHeight="1" x14ac:dyDescent="0.15"/>
    <row r="55" spans="3:3" ht="21" customHeight="1" x14ac:dyDescent="0.15"/>
    <row r="56" spans="3:3" ht="21" customHeight="1" x14ac:dyDescent="0.15"/>
    <row r="57" spans="3:3" ht="21" customHeight="1" x14ac:dyDescent="0.15"/>
    <row r="58" spans="3:3" ht="21" customHeight="1" x14ac:dyDescent="0.15"/>
    <row r="59" spans="3:3" ht="21" customHeight="1" x14ac:dyDescent="0.15"/>
    <row r="60" spans="3:3" ht="21" customHeight="1" x14ac:dyDescent="0.15"/>
    <row r="61" spans="3:3" ht="21" customHeight="1" x14ac:dyDescent="0.15"/>
    <row r="62" spans="3:3" ht="21" customHeight="1" x14ac:dyDescent="0.15"/>
    <row r="63" spans="3:3" ht="21" customHeight="1" x14ac:dyDescent="0.15"/>
    <row r="64" spans="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sheetData>
  <sheetProtection sheet="1" objects="1" scenarios="1"/>
  <mergeCells count="23">
    <mergeCell ref="B14:B17"/>
    <mergeCell ref="E16:E17"/>
    <mergeCell ref="F16:F17"/>
    <mergeCell ref="G16:G17"/>
    <mergeCell ref="D7:D9"/>
    <mergeCell ref="D11:D13"/>
    <mergeCell ref="B6:B9"/>
    <mergeCell ref="C6:C9"/>
    <mergeCell ref="E8:E9"/>
    <mergeCell ref="C10:C13"/>
    <mergeCell ref="B10:B13"/>
    <mergeCell ref="E12:E13"/>
    <mergeCell ref="C14:C17"/>
    <mergeCell ref="D15:D17"/>
    <mergeCell ref="F8:F9"/>
    <mergeCell ref="F12:F13"/>
    <mergeCell ref="F30:F31"/>
    <mergeCell ref="F32:F33"/>
    <mergeCell ref="H14:H17"/>
    <mergeCell ref="H6:H9"/>
    <mergeCell ref="H10:H13"/>
    <mergeCell ref="G8:G9"/>
    <mergeCell ref="G12:G13"/>
  </mergeCells>
  <phoneticPr fontId="3"/>
  <pageMargins left="0.70866141732283472" right="0.70866141732283472" top="0.74803149606299213" bottom="0.74803149606299213" header="0.31496062992125984" footer="0.31496062992125984"/>
  <pageSetup paperSize="9" scale="68" orientation="landscape" verticalDpi="0" r:id="rId1"/>
  <headerFooter>
    <oddFooter>&amp;C&amp;P</oddFooter>
  </headerFooter>
  <rowBreaks count="1" manualBreakCount="1">
    <brk id="1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1DDEB-EB5B-458F-9164-721C48B9CFDF}">
  <sheetPr>
    <tabColor theme="6" tint="-0.499984740745262"/>
    <pageSetUpPr autoPageBreaks="0"/>
  </sheetPr>
  <dimension ref="B1:BC47"/>
  <sheetViews>
    <sheetView showGridLines="0" zoomScaleNormal="100" zoomScaleSheetLayoutView="80" workbookViewId="0">
      <selection activeCell="A4" sqref="A4"/>
    </sheetView>
  </sheetViews>
  <sheetFormatPr defaultRowHeight="14.25" x14ac:dyDescent="0.15"/>
  <cols>
    <col min="1" max="1" width="2.625" style="42" customWidth="1"/>
    <col min="2" max="2" width="6" style="42" customWidth="1"/>
    <col min="3" max="3" width="21.875" style="42" customWidth="1"/>
    <col min="4" max="5" width="15.625" style="42" customWidth="1"/>
    <col min="6" max="6" width="13" style="42" customWidth="1"/>
    <col min="7" max="7" width="11.625" style="42" customWidth="1"/>
    <col min="8" max="8" width="14.625" style="42" customWidth="1"/>
    <col min="9" max="9" width="11.625" style="42" customWidth="1"/>
    <col min="10" max="10" width="14.75" style="42" customWidth="1"/>
    <col min="11" max="11" width="12.375" style="42" customWidth="1"/>
    <col min="12" max="13" width="14.625" style="42" customWidth="1"/>
    <col min="14" max="14" width="14" style="42" customWidth="1"/>
    <col min="15" max="15" width="14.75" style="42" customWidth="1"/>
    <col min="16" max="16" width="12" style="42" customWidth="1"/>
    <col min="17" max="18" width="14.25" style="42" customWidth="1"/>
    <col min="19" max="19" width="13.25" style="42" customWidth="1"/>
    <col min="20" max="20" width="11.625" style="42" customWidth="1"/>
    <col min="21" max="23" width="14.375" style="42" customWidth="1"/>
    <col min="24" max="24" width="11.625" style="42" customWidth="1"/>
    <col min="25" max="26" width="12.375" style="42" customWidth="1"/>
    <col min="27" max="27" width="11.625" style="42" customWidth="1"/>
    <col min="28" max="28" width="12.375" style="42" customWidth="1"/>
    <col min="29" max="29" width="16.25" style="42" customWidth="1"/>
    <col min="30" max="30" width="12.375" style="42" customWidth="1"/>
    <col min="31" max="36" width="14.875" style="42" customWidth="1"/>
    <col min="37" max="38" width="15.125" style="42" customWidth="1"/>
    <col min="39" max="39" width="19.625" style="42" customWidth="1"/>
    <col min="40" max="41" width="14.625" style="42" customWidth="1"/>
    <col min="42" max="43" width="15.625" style="42" customWidth="1"/>
    <col min="44" max="44" width="14.625" style="42" customWidth="1"/>
    <col min="45" max="45" width="17.875" style="42" customWidth="1"/>
    <col min="46" max="46" width="12.25" style="42" customWidth="1"/>
    <col min="47" max="47" width="17.625" style="42" customWidth="1"/>
    <col min="48" max="48" width="12" style="42" customWidth="1"/>
    <col min="49" max="50" width="9" style="42"/>
    <col min="51" max="51" width="26.25" style="42" customWidth="1"/>
    <col min="52" max="52" width="23" style="42" customWidth="1"/>
    <col min="53" max="53" width="25.625" style="42" customWidth="1"/>
    <col min="54" max="54" width="22.5" style="42" customWidth="1"/>
    <col min="55" max="59" width="28.625" style="42" customWidth="1"/>
    <col min="60" max="61" width="15.5" style="42" customWidth="1"/>
    <col min="62" max="16384" width="9" style="42"/>
  </cols>
  <sheetData>
    <row r="1" spans="2:55" ht="15" thickBot="1" x14ac:dyDescent="0.2">
      <c r="C1" s="158">
        <v>1</v>
      </c>
      <c r="D1" s="158"/>
      <c r="E1" s="158"/>
      <c r="F1" s="158">
        <v>2</v>
      </c>
      <c r="G1" s="158">
        <v>3</v>
      </c>
      <c r="H1" s="158">
        <v>4</v>
      </c>
      <c r="I1" s="158"/>
      <c r="J1" s="158">
        <v>6</v>
      </c>
      <c r="K1" s="158">
        <v>7</v>
      </c>
      <c r="L1" s="158">
        <v>8</v>
      </c>
      <c r="M1" s="158">
        <v>9</v>
      </c>
      <c r="N1" s="158">
        <v>10</v>
      </c>
      <c r="O1" s="158">
        <v>11</v>
      </c>
      <c r="P1" s="158">
        <v>12</v>
      </c>
      <c r="Q1" s="158">
        <v>13</v>
      </c>
      <c r="R1" s="158">
        <v>14</v>
      </c>
      <c r="S1" s="158">
        <v>15</v>
      </c>
      <c r="T1" s="158">
        <v>16</v>
      </c>
      <c r="U1" s="158">
        <v>17</v>
      </c>
      <c r="V1" s="158">
        <v>18</v>
      </c>
      <c r="W1" s="158">
        <v>19</v>
      </c>
      <c r="X1" s="158">
        <v>20</v>
      </c>
      <c r="Y1" s="158">
        <v>21</v>
      </c>
      <c r="Z1" s="158">
        <v>22</v>
      </c>
      <c r="AA1" s="158">
        <v>23</v>
      </c>
      <c r="AB1" s="158">
        <v>24</v>
      </c>
      <c r="AC1" s="158">
        <v>25</v>
      </c>
      <c r="AD1" s="158">
        <v>26</v>
      </c>
      <c r="AE1" s="158">
        <v>27</v>
      </c>
      <c r="AF1" s="158">
        <v>28</v>
      </c>
      <c r="AG1" s="158">
        <v>29</v>
      </c>
      <c r="AH1" s="158">
        <v>30</v>
      </c>
      <c r="AI1" s="158">
        <v>31</v>
      </c>
      <c r="AJ1" s="158">
        <v>32</v>
      </c>
      <c r="AK1" s="158">
        <v>33</v>
      </c>
      <c r="AL1" s="158">
        <v>34</v>
      </c>
      <c r="AM1" s="158">
        <v>35</v>
      </c>
      <c r="AN1" s="158">
        <v>36</v>
      </c>
      <c r="AO1" s="158">
        <v>37</v>
      </c>
      <c r="AP1" s="158">
        <v>38</v>
      </c>
      <c r="AQ1" s="158">
        <v>39</v>
      </c>
      <c r="AR1" s="158">
        <v>40</v>
      </c>
      <c r="AS1" s="158">
        <v>41</v>
      </c>
      <c r="AT1" s="158">
        <v>42</v>
      </c>
      <c r="AU1" s="158">
        <v>43</v>
      </c>
    </row>
    <row r="2" spans="2:55" ht="38.25" customHeight="1" thickBot="1" x14ac:dyDescent="0.25">
      <c r="B2" s="607" t="s">
        <v>374</v>
      </c>
      <c r="C2" s="119"/>
      <c r="D2" s="119"/>
      <c r="E2" s="119"/>
      <c r="J2" s="548">
        <f>IF('1-1.従業員データ給与改定案入力画面'!$N$2="","",IF(OR('1-1.従業員データ給与改定案入力画面'!$N$2=2,'1-1.従業員データ給与改定案入力画面'!$N$2=1),2,IF('1-1.従業員データ給与改定案入力画面'!$N$2:$N$3=3,3,"")))</f>
        <v>2</v>
      </c>
      <c r="K2" s="218"/>
      <c r="W2" s="160" t="s">
        <v>28</v>
      </c>
      <c r="Y2" s="161" t="s">
        <v>29</v>
      </c>
    </row>
    <row r="3" spans="2:55" ht="19.5" customHeight="1" thickBot="1" x14ac:dyDescent="0.25">
      <c r="D3" s="214" t="s">
        <v>111</v>
      </c>
      <c r="G3" s="259" t="s">
        <v>312</v>
      </c>
      <c r="H3" s="215"/>
      <c r="I3" s="215"/>
      <c r="L3" s="204"/>
      <c r="AC3" s="44"/>
      <c r="AD3" s="44"/>
      <c r="AE3" s="44"/>
      <c r="AF3" s="44"/>
      <c r="AG3" s="44"/>
      <c r="AU3" s="219"/>
      <c r="AV3" s="219"/>
      <c r="AW3" s="219"/>
      <c r="AX3" s="376"/>
      <c r="AY3" s="376"/>
      <c r="AZ3" s="376" t="s">
        <v>217</v>
      </c>
      <c r="BA3" s="551">
        <v>2</v>
      </c>
      <c r="BB3" s="551">
        <v>3</v>
      </c>
      <c r="BC3" s="551">
        <v>4</v>
      </c>
    </row>
    <row r="4" spans="2:55" ht="24.95" customHeight="1" thickBot="1" x14ac:dyDescent="0.2">
      <c r="C4" s="91" t="s">
        <v>79</v>
      </c>
      <c r="D4" s="386">
        <v>102</v>
      </c>
      <c r="E4" s="213"/>
      <c r="G4" s="212"/>
      <c r="H4" s="44"/>
      <c r="I4" s="44"/>
      <c r="J4" s="858" t="s">
        <v>278</v>
      </c>
      <c r="K4" s="858" t="s">
        <v>279</v>
      </c>
      <c r="L4" s="858" t="s">
        <v>280</v>
      </c>
      <c r="M4" s="842" t="s">
        <v>184</v>
      </c>
      <c r="N4" s="59"/>
      <c r="Q4" s="126" t="s">
        <v>117</v>
      </c>
      <c r="X4" s="859" t="s">
        <v>21</v>
      </c>
      <c r="Y4" s="860"/>
      <c r="Z4" s="860"/>
      <c r="AA4" s="860"/>
      <c r="AB4" s="861"/>
      <c r="AC4" s="43"/>
      <c r="AD4" s="43"/>
      <c r="AF4" s="126" t="s">
        <v>118</v>
      </c>
      <c r="AG4" s="43"/>
      <c r="AM4" s="126" t="s">
        <v>116</v>
      </c>
      <c r="AO4" s="196" t="s">
        <v>182</v>
      </c>
      <c r="AS4" s="126" t="s">
        <v>292</v>
      </c>
      <c r="AT4" s="126"/>
      <c r="AU4" s="219"/>
      <c r="AV4" s="219"/>
      <c r="AW4" s="219"/>
      <c r="AX4" s="376"/>
      <c r="AY4" s="220" t="s">
        <v>222</v>
      </c>
      <c r="AZ4" s="220" t="s">
        <v>231</v>
      </c>
      <c r="BA4" s="235" t="s">
        <v>346</v>
      </c>
      <c r="BB4" s="235" t="s">
        <v>347</v>
      </c>
      <c r="BC4" s="235" t="s">
        <v>348</v>
      </c>
    </row>
    <row r="5" spans="2:55" ht="30" customHeight="1" thickBot="1" x14ac:dyDescent="0.2">
      <c r="C5" s="842" t="s">
        <v>110</v>
      </c>
      <c r="D5" s="843"/>
      <c r="E5" s="59"/>
      <c r="G5" s="213"/>
      <c r="H5" s="62"/>
      <c r="I5" s="62"/>
      <c r="J5" s="858"/>
      <c r="K5" s="858"/>
      <c r="L5" s="858"/>
      <c r="M5" s="842"/>
      <c r="N5" s="59"/>
      <c r="Q5" s="126"/>
      <c r="X5" s="152" t="s">
        <v>148</v>
      </c>
      <c r="Y5" s="153" t="s">
        <v>149</v>
      </c>
      <c r="Z5" s="68" t="s">
        <v>34</v>
      </c>
      <c r="AA5" s="68" t="s">
        <v>35</v>
      </c>
      <c r="AB5" s="92" t="s">
        <v>107</v>
      </c>
      <c r="AC5" s="43"/>
      <c r="AD5" s="43"/>
      <c r="AF5" s="126"/>
      <c r="AG5" s="43"/>
      <c r="AM5" s="126"/>
      <c r="AO5" s="854" t="s">
        <v>157</v>
      </c>
      <c r="AP5" s="855"/>
      <c r="AS5" s="126"/>
      <c r="AT5" s="126"/>
      <c r="AU5" s="219"/>
      <c r="AV5" s="219"/>
      <c r="AW5" s="219"/>
      <c r="AX5" s="221" t="s">
        <v>216</v>
      </c>
      <c r="AY5" s="235" t="s">
        <v>341</v>
      </c>
      <c r="AZ5" s="220">
        <v>1</v>
      </c>
      <c r="BA5" s="220"/>
      <c r="BB5" s="220">
        <v>2</v>
      </c>
      <c r="BC5" s="220"/>
    </row>
    <row r="6" spans="2:55" ht="28.5" customHeight="1" thickBot="1" x14ac:dyDescent="0.2">
      <c r="C6" s="90" t="str">
        <f>IF($D$4="","",VLOOKUP($D$4,'1-1.従業員データ給与改定案入力画面'!$C$10:$AL$1010,2,0))</f>
        <v>ＡＢ</v>
      </c>
      <c r="D6" s="65" t="s">
        <v>33</v>
      </c>
      <c r="E6" s="617"/>
      <c r="G6" s="213"/>
      <c r="H6" s="63"/>
      <c r="I6" s="63"/>
      <c r="J6" s="64">
        <f>IF($D$4="","",VLOOKUP($D$4,'1-1.従業員データ給与改定案入力画面'!$C$10:$AL$1010,31,0)-VLOOKUP($D$4,'1-1.従業員データ給与改定案入力画面'!$C$10:$AL$1010,19,0))</f>
        <v>2000</v>
      </c>
      <c r="K6" s="64">
        <f>IF($D$4="","",VLOOKUP($D$4,'1-1.従業員データ給与改定案入力画面'!$C$10:$AL$1010,32,0)-VLOOKUP($D$4,'1-1.従業員データ給与改定案入力画面'!$C$10:$AL$1010,19,0))</f>
        <v>4000</v>
      </c>
      <c r="L6" s="64">
        <f>IF($D$4="","",VLOOKUP($D$4,'1-1.従業員データ給与改定案入力画面'!$C$10:$AL$1010,30,0)-VLOOKUP($D$4,'1-1.従業員データ給与改定案入力画面'!$C$10:$AL$1010,19,0))</f>
        <v>0</v>
      </c>
      <c r="M6" s="549">
        <f>IF($D$4="","",VLOOKUP($D$4,'1-1.従業員データ給与改定案入力画面'!$C$10:$AL$1010,36,0))</f>
        <v>0</v>
      </c>
      <c r="N6" s="232"/>
      <c r="X6" s="149">
        <f>'2-2.保険料・地方税等入力画面'!$G$7</f>
        <v>0.10290000000000001</v>
      </c>
      <c r="Y6" s="150">
        <f>'2-2.保険料・地方税等入力画面'!$H$7</f>
        <v>0.1211</v>
      </c>
      <c r="Z6" s="150">
        <f>'2-2.保険料・地方税等入力画面'!$I$7</f>
        <v>1.8199999999999994E-2</v>
      </c>
      <c r="AA6" s="150">
        <f>'2-2.保険料・地方税等入力画面'!$J$7</f>
        <v>0.183</v>
      </c>
      <c r="AB6" s="151">
        <f>'2-2.保険料・地方税等入力画面'!$E$5</f>
        <v>1.55E-2</v>
      </c>
      <c r="AC6" s="43"/>
      <c r="AD6" s="43"/>
      <c r="AF6" s="43"/>
      <c r="AG6" s="43"/>
      <c r="AO6" s="378" t="s">
        <v>81</v>
      </c>
      <c r="AP6" s="378" t="s">
        <v>66</v>
      </c>
      <c r="AU6" s="219"/>
      <c r="AV6" s="219"/>
      <c r="AW6" s="219"/>
      <c r="AX6" s="221" t="s">
        <v>218</v>
      </c>
      <c r="AY6" s="235" t="s">
        <v>220</v>
      </c>
      <c r="AZ6" s="220">
        <v>2</v>
      </c>
      <c r="BA6" s="220"/>
      <c r="BB6" s="220">
        <v>2</v>
      </c>
      <c r="BC6" s="220"/>
    </row>
    <row r="7" spans="2:55" ht="21" customHeight="1" thickBot="1" x14ac:dyDescent="0.2">
      <c r="C7" s="66" t="s">
        <v>190</v>
      </c>
      <c r="D7" s="67">
        <f>IF($D$4="","",VLOOKUP($D$4,'1-1.従業員データ給与改定案入力画面'!$C$10:$AL$1010,11,0))</f>
        <v>5</v>
      </c>
      <c r="E7" s="524"/>
      <c r="G7" s="204"/>
      <c r="H7" s="69"/>
      <c r="I7" s="660"/>
      <c r="J7" s="501"/>
      <c r="X7" s="193">
        <f>X6/2</f>
        <v>5.1450000000000003E-2</v>
      </c>
      <c r="Y7" s="194">
        <f>Y6/2</f>
        <v>6.055E-2</v>
      </c>
      <c r="Z7" s="194">
        <f>Z6/2</f>
        <v>9.099999999999997E-3</v>
      </c>
      <c r="AA7" s="194">
        <f>AA6/2</f>
        <v>9.1499999999999998E-2</v>
      </c>
      <c r="AB7" s="195">
        <f>'2-2.保険料・地方税等入力画面'!$E$6</f>
        <v>6.0000000000000001E-3</v>
      </c>
      <c r="AC7" s="43"/>
      <c r="AD7" s="43"/>
      <c r="AE7" s="43"/>
      <c r="AF7" s="43"/>
      <c r="AG7" s="43"/>
      <c r="AM7" s="379" t="s">
        <v>141</v>
      </c>
      <c r="AN7" s="44"/>
      <c r="AO7" s="157">
        <f>IF($AM$8="","",VLOOKUP($AM$8,'2-2.保険料・地方税等入力画面'!$D$41:$K$100,7,0))</f>
        <v>965000</v>
      </c>
      <c r="AP7" s="157">
        <f>IF($AM$8="","",VLOOKUP($AM$8,'2-2.保険料・地方税等入力画面'!$D$41:$K$100,8,0))</f>
        <v>1000000</v>
      </c>
      <c r="AU7" s="219"/>
      <c r="AV7" s="219"/>
      <c r="AW7" s="219"/>
      <c r="AX7" s="221" t="s">
        <v>219</v>
      </c>
      <c r="AY7" s="235" t="s">
        <v>221</v>
      </c>
      <c r="AZ7" s="220">
        <v>3</v>
      </c>
      <c r="BA7" s="220">
        <v>1</v>
      </c>
      <c r="BB7" s="220">
        <v>1</v>
      </c>
      <c r="BC7" s="220">
        <v>1</v>
      </c>
    </row>
    <row r="8" spans="2:55" ht="21" customHeight="1" thickBot="1" x14ac:dyDescent="0.2">
      <c r="C8" s="66" t="s">
        <v>103</v>
      </c>
      <c r="D8" s="67">
        <f>IF($D$4="","",VLOOKUP($D$4,'1-1.従業員データ給与改定案入力画面'!$C$10:$AL$1010,12,0))</f>
        <v>4</v>
      </c>
      <c r="E8" s="524"/>
      <c r="F8" s="65" t="s">
        <v>45</v>
      </c>
      <c r="G8" s="608" t="s">
        <v>380</v>
      </c>
      <c r="H8" s="65" t="s">
        <v>381</v>
      </c>
      <c r="I8" s="69"/>
      <c r="J8" s="862" t="s">
        <v>323</v>
      </c>
      <c r="K8" s="863"/>
      <c r="M8" s="864" t="s">
        <v>108</v>
      </c>
      <c r="N8" s="865"/>
      <c r="O8" s="866"/>
      <c r="AE8" s="43"/>
      <c r="AM8" s="380" t="str">
        <f>IF($D$4="","",VLOOKUP($D$4,'1-1.従業員データ給与改定案入力画面'!$C$10:$AL$1010,3,0))</f>
        <v>生駒市</v>
      </c>
      <c r="AO8" s="856" t="s">
        <v>65</v>
      </c>
      <c r="AP8" s="856"/>
      <c r="AQ8" s="854" t="s">
        <v>66</v>
      </c>
      <c r="AR8" s="857"/>
      <c r="AS8" s="126"/>
    </row>
    <row r="9" spans="2:55" ht="21" customHeight="1" thickBot="1" x14ac:dyDescent="0.2">
      <c r="C9" s="66" t="s">
        <v>319</v>
      </c>
      <c r="D9" s="505">
        <f>IF($D$4="","",VLOOKUP($D$4,'1-1.従業員データ給与改定案入力画面'!$C$10:$AL$1010,15,0))</f>
        <v>1000</v>
      </c>
      <c r="E9" s="524"/>
      <c r="F9" s="464">
        <v>4</v>
      </c>
      <c r="G9" s="464" t="s">
        <v>382</v>
      </c>
      <c r="H9" s="609">
        <v>0</v>
      </c>
      <c r="J9" s="494">
        <v>1000000</v>
      </c>
      <c r="K9" s="496" t="s">
        <v>324</v>
      </c>
      <c r="M9" s="867" t="s">
        <v>223</v>
      </c>
      <c r="N9" s="868"/>
      <c r="O9" s="553">
        <f>IF($D$4="","",VLOOKUP($J$2,$AZ$5:$BC$7,3,0))</f>
        <v>2</v>
      </c>
      <c r="P9" s="458" t="s">
        <v>342</v>
      </c>
      <c r="Y9" s="502" t="s">
        <v>26</v>
      </c>
      <c r="AB9" s="845" t="s">
        <v>112</v>
      </c>
      <c r="AE9" s="43"/>
      <c r="AI9" s="61"/>
      <c r="AO9" s="381" t="s">
        <v>163</v>
      </c>
      <c r="AP9" s="381" t="s">
        <v>162</v>
      </c>
      <c r="AQ9" s="377" t="s">
        <v>68</v>
      </c>
      <c r="AR9" s="381" t="s">
        <v>162</v>
      </c>
      <c r="AS9" s="126"/>
    </row>
    <row r="10" spans="2:55" ht="21" customHeight="1" thickBot="1" x14ac:dyDescent="0.2">
      <c r="C10" s="65" t="s">
        <v>19</v>
      </c>
      <c r="D10" s="67">
        <f>IF($D$4="","",VLOOKUP($D$4,'1-1.従業員データ給与改定案入力画面'!$C$10:$AL$1010,7,0))</f>
        <v>26</v>
      </c>
      <c r="E10" s="213"/>
      <c r="F10" s="464">
        <v>3</v>
      </c>
      <c r="G10" s="464">
        <v>4</v>
      </c>
      <c r="H10" s="610">
        <v>0.05</v>
      </c>
      <c r="J10" s="494">
        <v>1000000</v>
      </c>
      <c r="K10" s="497" t="s">
        <v>325</v>
      </c>
      <c r="M10" s="867" t="s">
        <v>121</v>
      </c>
      <c r="N10" s="869"/>
      <c r="O10" s="552">
        <f>$BC$11</f>
        <v>1300000</v>
      </c>
      <c r="P10" s="93" t="s">
        <v>158</v>
      </c>
      <c r="W10" s="142"/>
      <c r="X10" s="59"/>
      <c r="AA10" s="43"/>
      <c r="AB10" s="846"/>
      <c r="AE10" s="43"/>
      <c r="AF10" s="43"/>
      <c r="AO10" s="382">
        <f>IF($AM$8="","",VLOOKUP($AM$8,'2-2.保険料・地方税等入力画面'!$D$41:$K$100,2,0))</f>
        <v>2000</v>
      </c>
      <c r="AP10" s="383">
        <f>IF($AM$8="","",VLOOKUP($AM$8,'2-2.保険料・地方税等入力画面'!$D$41:$K$100,3,0))</f>
        <v>3500</v>
      </c>
      <c r="AQ10" s="384">
        <f>IF($AM$8="","",VLOOKUP($AM$8,'2-2.保険料・地方税等入力画面'!$D$41:$K$100,4,0))</f>
        <v>0.04</v>
      </c>
      <c r="AR10" s="385">
        <f>IF($AM$8="","",VLOOKUP($AM$8,'2-2.保険料・地方税等入力画面'!$D$41:$K$100,5,0))</f>
        <v>0.06</v>
      </c>
      <c r="AS10" s="126"/>
      <c r="AZ10" s="235" t="s">
        <v>231</v>
      </c>
      <c r="BA10" s="847" t="s">
        <v>254</v>
      </c>
      <c r="BB10" s="847"/>
      <c r="BC10" s="234" t="s">
        <v>257</v>
      </c>
    </row>
    <row r="11" spans="2:55" ht="21" customHeight="1" thickBot="1" x14ac:dyDescent="0.2">
      <c r="C11" s="65" t="s">
        <v>165</v>
      </c>
      <c r="D11" s="67" t="str">
        <f>IF($D$4="","",VLOOKUP($D$4,'1-1.従業員データ給与改定案入力画面'!$C$10:$AL$1010,3,0))</f>
        <v>生駒市</v>
      </c>
      <c r="E11" s="213"/>
      <c r="F11" s="464">
        <v>2</v>
      </c>
      <c r="G11" s="464">
        <v>3</v>
      </c>
      <c r="H11" s="610">
        <v>0.1</v>
      </c>
      <c r="J11" s="494">
        <v>1030000</v>
      </c>
      <c r="K11" s="498" t="s">
        <v>327</v>
      </c>
      <c r="M11" s="870" t="s">
        <v>120</v>
      </c>
      <c r="N11" s="871"/>
      <c r="O11" s="550">
        <f>$BC$12</f>
        <v>30</v>
      </c>
      <c r="P11" s="93" t="s">
        <v>293</v>
      </c>
      <c r="T11" s="230"/>
      <c r="W11" s="231"/>
      <c r="Y11" s="845" t="s">
        <v>134</v>
      </c>
      <c r="AA11" s="43"/>
      <c r="AB11" s="227">
        <f>$BC$15</f>
        <v>20</v>
      </c>
      <c r="AF11" s="43"/>
      <c r="AR11" s="166" t="s">
        <v>164</v>
      </c>
      <c r="AZ11" s="852" t="s">
        <v>258</v>
      </c>
      <c r="BA11" s="847" t="s">
        <v>263</v>
      </c>
      <c r="BB11" s="847"/>
      <c r="BC11" s="224">
        <v>1300000</v>
      </c>
    </row>
    <row r="12" spans="2:55" ht="22.5" customHeight="1" thickBot="1" x14ac:dyDescent="0.2">
      <c r="C12" s="174" t="s">
        <v>320</v>
      </c>
      <c r="D12" s="67">
        <f>IF($D$4="","",VLOOKUP($D$4,'1-1.従業員データ給与改定案入力画面'!$C$10:$AL$1010,4,0))</f>
        <v>0</v>
      </c>
      <c r="E12" s="213"/>
      <c r="F12" s="464">
        <v>1</v>
      </c>
      <c r="G12" s="464">
        <v>2</v>
      </c>
      <c r="H12" s="610">
        <v>0.15</v>
      </c>
      <c r="J12" s="495">
        <v>1060000</v>
      </c>
      <c r="K12" s="499" t="s">
        <v>335</v>
      </c>
      <c r="Q12" s="113" t="s">
        <v>105</v>
      </c>
      <c r="R12" s="114" t="s">
        <v>82</v>
      </c>
      <c r="S12" s="115" t="s">
        <v>92</v>
      </c>
      <c r="U12" s="113" t="s">
        <v>105</v>
      </c>
      <c r="V12" s="114" t="s">
        <v>135</v>
      </c>
      <c r="W12" s="225" t="s">
        <v>136</v>
      </c>
      <c r="X12" s="462" t="s">
        <v>92</v>
      </c>
      <c r="Y12" s="845"/>
      <c r="Z12" s="146"/>
      <c r="AA12" s="45"/>
      <c r="AB12" s="98" t="s">
        <v>84</v>
      </c>
      <c r="AD12" s="43"/>
      <c r="AE12" s="46"/>
      <c r="AF12" s="98" t="s">
        <v>114</v>
      </c>
      <c r="AK12" s="196"/>
      <c r="AN12" s="98" t="s">
        <v>114</v>
      </c>
      <c r="AP12" s="125" t="s">
        <v>98</v>
      </c>
      <c r="AQ12" s="124" t="s">
        <v>115</v>
      </c>
      <c r="AR12" s="125" t="s">
        <v>16</v>
      </c>
      <c r="AZ12" s="853"/>
      <c r="BA12" s="851" t="s">
        <v>255</v>
      </c>
      <c r="BB12" s="851"/>
      <c r="BC12" s="224">
        <v>30</v>
      </c>
    </row>
    <row r="13" spans="2:55" s="44" customFormat="1" ht="29.25" customHeight="1" thickBot="1" x14ac:dyDescent="0.2">
      <c r="C13" s="67">
        <f>IF($D$4="","",VLOOKUP($D$4,'1-1.従業員データ給与改定案入力画面'!$C$10:$AL$1010,16,0))</f>
        <v>40</v>
      </c>
      <c r="D13" s="657"/>
      <c r="E13" s="661"/>
      <c r="J13" s="494">
        <v>1300000</v>
      </c>
      <c r="K13" s="500" t="s">
        <v>326</v>
      </c>
      <c r="L13" s="491" t="s">
        <v>113</v>
      </c>
      <c r="Q13" s="120">
        <f>IF($O$9="","",$O$9)</f>
        <v>2</v>
      </c>
      <c r="R13" s="121">
        <f>$BC$13</f>
        <v>88000</v>
      </c>
      <c r="S13" s="233">
        <f>$BC$16</f>
        <v>40</v>
      </c>
      <c r="T13" s="70"/>
      <c r="U13" s="120">
        <f>IF($O$9="","",$O$9)</f>
        <v>2</v>
      </c>
      <c r="V13" s="121">
        <f>IF($O$10="","",$O$10)</f>
        <v>1300000</v>
      </c>
      <c r="W13" s="121">
        <f>IF($O$11="","",$O$11)</f>
        <v>30</v>
      </c>
      <c r="X13" s="233">
        <f>$BC$16</f>
        <v>40</v>
      </c>
      <c r="Y13" s="463">
        <f>IF($D$4="","",'2-2.保険料・地方税等入力画面'!$E$34)</f>
        <v>16520</v>
      </c>
      <c r="Z13" s="97"/>
      <c r="AA13" s="97"/>
      <c r="AB13" s="96">
        <f>$AB$7</f>
        <v>6.0000000000000001E-3</v>
      </c>
      <c r="AC13" s="42"/>
      <c r="AD13" s="159"/>
      <c r="AF13" s="122">
        <f>'3-2.所得算出参照表'!$I$16</f>
        <v>480000</v>
      </c>
      <c r="AG13" s="42"/>
      <c r="AH13" s="42"/>
      <c r="AI13" s="42"/>
      <c r="AJ13" s="127"/>
      <c r="AL13" s="42"/>
      <c r="AM13" s="42"/>
      <c r="AN13" s="133">
        <f>'3-2.所得算出参照表'!$I$17</f>
        <v>430000</v>
      </c>
      <c r="AO13" s="42"/>
      <c r="AP13" s="134">
        <f>IF($AO$10="",0,$AO$10+$AP$10)</f>
        <v>5500</v>
      </c>
      <c r="AQ13" s="135">
        <f>IF($AQ$10="",0,$AQ$10+$AR$10)</f>
        <v>0.1</v>
      </c>
      <c r="AR13" s="134">
        <f>IF($AQ$10="",0,'3-2.所得算出参照表'!$G$22)</f>
        <v>2000000</v>
      </c>
      <c r="AS13" s="848" t="s">
        <v>119</v>
      </c>
      <c r="AT13" s="42"/>
      <c r="AZ13" s="850" t="s">
        <v>259</v>
      </c>
      <c r="BA13" s="847" t="s">
        <v>253</v>
      </c>
      <c r="BB13" s="847"/>
      <c r="BC13" s="224">
        <v>88000</v>
      </c>
    </row>
    <row r="14" spans="2:55" ht="53.25" customHeight="1" thickBot="1" x14ac:dyDescent="0.2">
      <c r="B14" s="109" t="s">
        <v>18</v>
      </c>
      <c r="C14" s="112" t="s">
        <v>321</v>
      </c>
      <c r="D14" s="487" t="s">
        <v>383</v>
      </c>
      <c r="E14" s="487" t="s">
        <v>384</v>
      </c>
      <c r="F14" s="487" t="s">
        <v>314</v>
      </c>
      <c r="G14" s="487" t="s">
        <v>330</v>
      </c>
      <c r="H14" s="487" t="s">
        <v>191</v>
      </c>
      <c r="I14" s="487" t="s">
        <v>106</v>
      </c>
      <c r="J14" s="492" t="s">
        <v>322</v>
      </c>
      <c r="K14" s="493" t="s">
        <v>282</v>
      </c>
      <c r="L14" s="485" t="s">
        <v>281</v>
      </c>
      <c r="M14" s="228" t="s">
        <v>17</v>
      </c>
      <c r="N14" s="202" t="s">
        <v>185</v>
      </c>
      <c r="O14" s="202" t="s">
        <v>187</v>
      </c>
      <c r="P14" s="228" t="s">
        <v>264</v>
      </c>
      <c r="Q14" s="203" t="s">
        <v>93</v>
      </c>
      <c r="R14" s="99" t="s">
        <v>94</v>
      </c>
      <c r="S14" s="99" t="s">
        <v>95</v>
      </c>
      <c r="T14" s="100" t="s">
        <v>109</v>
      </c>
      <c r="U14" s="87" t="s">
        <v>93</v>
      </c>
      <c r="V14" s="88" t="s">
        <v>94</v>
      </c>
      <c r="W14" s="88" t="s">
        <v>95</v>
      </c>
      <c r="X14" s="89" t="s">
        <v>109</v>
      </c>
      <c r="Y14" s="143" t="s">
        <v>159</v>
      </c>
      <c r="Z14" s="143" t="s">
        <v>160</v>
      </c>
      <c r="AA14" s="143" t="s">
        <v>109</v>
      </c>
      <c r="AB14" s="95" t="s">
        <v>186</v>
      </c>
      <c r="AC14" s="75" t="s">
        <v>355</v>
      </c>
      <c r="AD14" s="116" t="s">
        <v>16</v>
      </c>
      <c r="AE14" s="117" t="s">
        <v>85</v>
      </c>
      <c r="AF14" s="117" t="s">
        <v>57</v>
      </c>
      <c r="AG14" s="117" t="s">
        <v>89</v>
      </c>
      <c r="AH14" s="117" t="s">
        <v>87</v>
      </c>
      <c r="AI14" s="117" t="s">
        <v>88</v>
      </c>
      <c r="AJ14" s="117" t="s">
        <v>47</v>
      </c>
      <c r="AK14" s="117" t="s">
        <v>90</v>
      </c>
      <c r="AL14" s="130" t="s">
        <v>91</v>
      </c>
      <c r="AM14" s="490" t="s">
        <v>85</v>
      </c>
      <c r="AN14" s="88" t="s">
        <v>57</v>
      </c>
      <c r="AO14" s="88" t="s">
        <v>89</v>
      </c>
      <c r="AP14" s="88" t="s">
        <v>96</v>
      </c>
      <c r="AQ14" s="88" t="s">
        <v>97</v>
      </c>
      <c r="AR14" s="88" t="s">
        <v>161</v>
      </c>
      <c r="AS14" s="849"/>
      <c r="AZ14" s="847"/>
      <c r="BA14" s="851" t="s">
        <v>256</v>
      </c>
      <c r="BB14" s="851"/>
      <c r="BC14" s="224">
        <v>20</v>
      </c>
    </row>
    <row r="15" spans="2:55" ht="21.95" customHeight="1" thickBot="1" x14ac:dyDescent="0.2">
      <c r="B15" s="47">
        <v>1</v>
      </c>
      <c r="C15" s="611">
        <f>IF($D$4="",0,IF($G15&lt;=0,0,IF($F15="","",$D$9+$C$13)))</f>
        <v>1040</v>
      </c>
      <c r="D15" s="618">
        <f>IF($C15="","",IF($F15=0,0,IF($F15&gt;4,0,IF(AND($O$9=1,$G15&lt;20),0,IF(AND($O$9=2,$G15&lt;30),0,VLOOKUP($F15,$F$9:$H$12,3,0))))))</f>
        <v>0</v>
      </c>
      <c r="E15" s="620">
        <f>IF($C15="","",$C15*(1+$D15))</f>
        <v>1040</v>
      </c>
      <c r="F15" s="658">
        <v>0</v>
      </c>
      <c r="G15" s="659">
        <f>IF($D$4="","",$D$7*$D$8)</f>
        <v>20</v>
      </c>
      <c r="H15" s="488">
        <f>IF($D$7="","",IF($G15="","",$G15*365/7))</f>
        <v>1042.8571428571429</v>
      </c>
      <c r="I15" s="486">
        <f>IF($D$4="","",IF($E15="",0,$E15*$H15/12))</f>
        <v>90380.952380952382</v>
      </c>
      <c r="J15" s="489">
        <f>IF($D$4="",0,IF($I15=0,0,$I15+$J$6))</f>
        <v>92380.952380952382</v>
      </c>
      <c r="K15" s="108">
        <f>IF($D$4="",0,IF($J15=0,0,$J15*12+$M$6))</f>
        <v>1108571.4285714286</v>
      </c>
      <c r="L15" s="484">
        <f>IF($D$4="",0,IF($I15=0,0,$I15+$K$6))</f>
        <v>94380.952380952382</v>
      </c>
      <c r="M15" s="104">
        <f>IF($D$4="",0,IF($L15=0,0,VLOOKUP($L15,'3-1.標準報酬月額・保険料表'!$N$8:$O$57,2,TRUE)))</f>
        <v>98000</v>
      </c>
      <c r="N15" s="200">
        <f>IF($D$4="",0,ROUNDDOWN($M$6,-3))</f>
        <v>0</v>
      </c>
      <c r="O15" s="104">
        <f t="shared" ref="O15:O44" si="0">IF($D$4="",0,ROUND($N15/12,0))</f>
        <v>0</v>
      </c>
      <c r="P15" s="200">
        <f>IF($D$4="","",IF($I15="",0,$I15+$L$6))</f>
        <v>90380.952380952382</v>
      </c>
      <c r="Q15" s="71">
        <f>IF($D$4="",0,IF($G15&lt;20,0,IF($Q$13="",0,IF($Q$13=2,0,IF($P15&lt;$R$13,0,IF($M15&lt;=620000,VLOOKUP($M15,'3-1.標準報酬月額・保険料表'!$D$8:$L$42,9,FALSE),'3-1.標準報酬月額・保険料表'!$L$42)+ROUNDDOWN($O15*$AA$7,0))))))</f>
        <v>0</v>
      </c>
      <c r="R15" s="60">
        <f>IF($D$4="",0,IF($G15&lt;20,0,IF($O$9="",0,IF($Q$13=2,0,IF($D$10&gt;=$S$13,0,IF($P15&lt;$R$13,0,VLOOKUP($M15,'3-1.標準報酬月額・保険料表'!$D$8:$J$57,6,FALSE)+ROUNDDOWN($O15*$X$7,0)))))))</f>
        <v>0</v>
      </c>
      <c r="S15" s="60">
        <f>IF($D$4="",0,IF($G15&lt;20,0,IF($Q$13="",0,IF($Q$13=2,0,IF($D$10&lt;$S$13,0,IF($P15&lt;$R$13,0,VLOOKUP($M15,'3-1.標準報酬月額・保険料表'!$D$8:$J$57,7,FALSE)+ROUNDDOWN($O15*$Y$7,0)))))))</f>
        <v>0</v>
      </c>
      <c r="T15" s="76">
        <f>SUM($Q15:$S15)</f>
        <v>0</v>
      </c>
      <c r="U15" s="81">
        <f>IF($D$4="",0,IF($U$13="",0,IF($U$13=1,0,IF($G15&lt;$W$13,0,IF($K15&lt;$V$13,0,IF($M15&lt;=620000,VLOOKUP($M15,'3-1.標準報酬月額・保険料表'!$D$8:$L$42,9,FALSE),'3-1.標準報酬月額・保険料表'!$L$42)+ROUNDDOWN($O15*$AA$7,0))))))</f>
        <v>0</v>
      </c>
      <c r="V15" s="82">
        <f>IF($D$4="",0,IF($U$13="",0,IF($U$13=1,0,IF($G15&lt;$W$13,0,IF($K15&lt;$V$13,0,IF($D$10&gt;=$X$13,0,VLOOKUP($M15,'3-1.標準報酬月額・保険料表'!$D$8:$J$57,6,FALSE)+ROUNDDOWN($O15*$X$7,0)))))))</f>
        <v>0</v>
      </c>
      <c r="W15" s="82">
        <f>IF($D$4="",0,IF($U$13="",0,IF($U$13=1,0,IF($G15&lt;$W$13,0,IF($K15&lt;$V$13,0,IF($D$10&lt;$X$13,0,VLOOKUP($M15,'3-1.標準報酬月額・保険料表'!$D$8:$J$57,7,FALSE)+ROUNDDOWN($O15*$Y$7,0)))))))</f>
        <v>0</v>
      </c>
      <c r="X15" s="83">
        <f>SUM($U15:$W15)</f>
        <v>0</v>
      </c>
      <c r="Y15" s="144">
        <f t="shared" ref="Y15:Y44" si="1">IF($D$4="",0,IF($U$13="",0,IF($U$13=1,0,IF(AND($K15&gt;=$V$13,$G15&lt;$W$13),$Y$13*12,0))))</f>
        <v>0</v>
      </c>
      <c r="Z15" s="144">
        <f>IF($D$4="",0,IF($U$13="",0,IF($U$13=1,0,IF(AND($K15&gt;=$V$13,$G15&lt;$W$13),'3-3.国民健康保険料簡易計算'!$Q10,0))))</f>
        <v>0</v>
      </c>
      <c r="AA15" s="144">
        <f>SUM($Y15:$Z15)</f>
        <v>0</v>
      </c>
      <c r="AB15" s="73">
        <f t="shared" ref="AB15:AB44" si="2">IF($D$4="",0,IF($G15&lt;$AB$11,0,$K15*$AB$13))</f>
        <v>6651.4285714285716</v>
      </c>
      <c r="AC15" s="78">
        <f t="shared" ref="AC15:AC44" si="3">IF($D$4="",0,($T15+$X15)*12)+$AA15+$AB15</f>
        <v>6651.4285714285716</v>
      </c>
      <c r="AD15" s="162">
        <f>IF($D$4="","",VLOOKUP($K15,'3-2.所得算出参照表'!K$5:L$10,2,TRUE))</f>
        <v>1625000</v>
      </c>
      <c r="AE15" s="163">
        <f>IF($AD15="",0,IF($AD15='3-2.所得算出参照表'!$B$5,'3-2.所得算出参照表'!$E$5,IF('4-1.労働時間延長メニューメイン-1'!$AD15='3-2.所得算出参照表'!$B$6,'4-1.労働時間延長メニューメイン-1'!$K15*'3-2.所得算出参照表'!$E$6+'3-2.所得算出参照表'!$G$6,IF('4-1.労働時間延長メニューメイン-1'!$AD15='3-2.所得算出参照表'!$B$7,'4-1.労働時間延長メニューメイン-1'!$K15*'3-2.所得算出参照表'!$E$7+'3-2.所得算出参照表'!$G$7,IF('4-1.労働時間延長メニューメイン-1'!$AD15='3-2.所得算出参照表'!$B$8,'4-1.労働時間延長メニューメイン-1'!$K15*'3-2.所得算出参照表'!$E$8+'3-2.所得算出参照表'!$G$8,IF('4-1.労働時間延長メニューメイン-1'!$AD15='3-2.所得算出参照表'!$B$9,'4-1.労働時間延長メニューメイン-1'!$K15*'3-2.所得算出参照表'!$E$9+'3-2.所得算出参照表'!$G$9,IF($AD15='3-2.所得算出参照表'!$B$10,'3-2.所得算出参照表'!$G$10)))))))</f>
        <v>550000</v>
      </c>
      <c r="AF15" s="123">
        <f t="shared" ref="AF15:AF44" si="4">IF($D$4="","",$AF$13)</f>
        <v>480000</v>
      </c>
      <c r="AG15" s="118">
        <f>IF($AD15="",0,IF(ROUNDDOWN($K15-$AC15-$AE15-$AF15,-3)&lt;=0,0,ROUNDDOWN($K15-$AC15-$AE15-$AF15,-3)))</f>
        <v>71000</v>
      </c>
      <c r="AH15" s="164">
        <f>VLOOKUP($AG15,'3-2.所得算出参照表'!$N$4:$O$11,2,TRUE)</f>
        <v>0.05</v>
      </c>
      <c r="AI15" s="118">
        <f>VLOOKUP($AG15,'3-2.所得算出参照表'!$P$4:$Q$11,2,TRUE)</f>
        <v>0</v>
      </c>
      <c r="AJ15" s="118">
        <f>$AG15*AH15-$AI15</f>
        <v>3550</v>
      </c>
      <c r="AK15" s="118">
        <f>$AJ15*'3-2.所得算出参照表'!$D$14</f>
        <v>74.550000000000011</v>
      </c>
      <c r="AL15" s="131">
        <f>ROUNDDOWN($AJ15+$AK15,-2)</f>
        <v>3600</v>
      </c>
      <c r="AM15" s="140">
        <f>IF($AD15="",0,IF($AD15='3-2.所得算出参照表'!$B$5,'3-2.所得算出参照表'!$E$5,IF('4-1.労働時間延長メニューメイン-1'!$AD15='3-2.所得算出参照表'!$B$6,'4-1.労働時間延長メニューメイン-1'!$K15*'3-2.所得算出参照表'!$E$6+'3-2.所得算出参照表'!$G$6,IF('4-1.労働時間延長メニューメイン-1'!$AD15='3-2.所得算出参照表'!$B$7,'4-1.労働時間延長メニューメイン-1'!$K15*'3-2.所得算出参照表'!$E$7+'3-2.所得算出参照表'!$G$7,IF('4-1.労働時間延長メニューメイン-1'!$AD15='3-2.所得算出参照表'!$B$8,'4-1.労働時間延長メニューメイン-1'!$K15*'3-2.所得算出参照表'!$E$8+'3-2.所得算出参照表'!$G$8,IF('4-1.労働時間延長メニューメイン-1'!$AD15='3-2.所得算出参照表'!$B$9,'4-1.労働時間延長メニューメイン-1'!$K15*'3-2.所得算出参照表'!$E$9+'3-2.所得算出参照表'!$G$9,IF($AD15='3-2.所得算出参照表'!$B$10,'3-2.所得算出参照表'!$G$10)))))))</f>
        <v>550000</v>
      </c>
      <c r="AN15" s="82">
        <f t="shared" ref="AN15:AN44" si="5">IF($D$4="","",$AN$13)</f>
        <v>430000</v>
      </c>
      <c r="AO15" s="128">
        <f t="shared" ref="AO15:AO44" si="6">IF($D$4="",0,IF(ROUNDDOWN($K15-$AC15-$AM15-$AN15,-3)&lt;=0,0,ROUNDDOWN($K15-$AC15-$AM15-$AN15,-3)))</f>
        <v>121000</v>
      </c>
      <c r="AP15" s="128">
        <f t="shared" ref="AP15:AP44" si="7">IF($D$4="",0,IF($K15&lt;$AO$7,0,$AP$13))</f>
        <v>5500</v>
      </c>
      <c r="AQ15" s="129">
        <f t="shared" ref="AQ15:AQ44" si="8">IF($D$4="",0,IF($K15&lt;$AP$7,0,$AQ$13))</f>
        <v>0.1</v>
      </c>
      <c r="AR15" s="136">
        <f>IF($AO15*$AQ$13=0,0,$AO15*$AQ$13-IF($AO15&lt;=$AR$13,($AF15-$AN15)*0.05,IF($AO15&gt;$AR$13,IF($AO15&gt;$AR$13,($AF15-$AN15)-($AO15-$AR$13)*0.05)))+$AP15)</f>
        <v>15100</v>
      </c>
      <c r="AS15" s="154">
        <f t="shared" ref="AS15:AS44" si="9">$K15-$AC15-$AL15-$AR15</f>
        <v>1083220</v>
      </c>
      <c r="AZ15" s="235" t="s">
        <v>260</v>
      </c>
      <c r="BA15" s="844" t="s">
        <v>261</v>
      </c>
      <c r="BB15" s="844"/>
      <c r="BC15" s="226">
        <v>20</v>
      </c>
    </row>
    <row r="16" spans="2:55" ht="21.95" customHeight="1" x14ac:dyDescent="0.15">
      <c r="B16" s="110">
        <v>2</v>
      </c>
      <c r="C16" s="612">
        <f>IF($D$4="",0,IF($G16&lt;=0,0,IF($F16="","",$D$9+$C$13)))</f>
        <v>1040</v>
      </c>
      <c r="D16" s="619">
        <f t="shared" ref="D16:D44" si="10">IF($C16="","",IF($F16=0,0,IF($F16&gt;4,0,IF(AND($O$9=1,$G16&lt;20),0,IF(AND($O$9=2,$G16&lt;30),0,VLOOKUP($F16,$F$9:$H$12,3,0))))))</f>
        <v>0</v>
      </c>
      <c r="E16" s="615">
        <f t="shared" ref="E16:E44" si="11">IF($C16="","",$C16*(1+$D16))</f>
        <v>1040</v>
      </c>
      <c r="F16" s="613">
        <f>IF($G15&gt;=39,"",$F15+1)</f>
        <v>1</v>
      </c>
      <c r="G16" s="483">
        <f>IF($F16="","",IF($G$15+$F16&gt;39,0,$G$15+$F16))</f>
        <v>21</v>
      </c>
      <c r="H16" s="211">
        <f t="shared" ref="H16:H44" si="12">IF($D$7="","",IF($G16="","",$G16*365/7))</f>
        <v>1095</v>
      </c>
      <c r="I16" s="107">
        <f t="shared" ref="I16:I44" si="13">IF($D$4="","",IF($E16="",0,$E16*$H16/12))</f>
        <v>94900</v>
      </c>
      <c r="J16" s="101">
        <f t="shared" ref="J16:J44" si="14">IF($D$4="",0,IF($I16=0,0,$I16+$J$6))</f>
        <v>96900</v>
      </c>
      <c r="K16" s="108">
        <f t="shared" ref="K16:K44" si="15">IF($D$4="",0,IF($J16=0,0,$J16*12+$M$6))</f>
        <v>1162800</v>
      </c>
      <c r="L16" s="103">
        <f t="shared" ref="L16:L44" si="16">IF($D$4="",0,IF($I16=0,0,$I16+$K$6))</f>
        <v>98900</v>
      </c>
      <c r="M16" s="104">
        <f>IF($D$4="",0,IF($L16=0,0,VLOOKUP($L16,'3-1.標準報酬月額・保険料表'!$N$8:$O$57,2,TRUE)))</f>
        <v>98000</v>
      </c>
      <c r="N16" s="200">
        <f t="shared" ref="N16:N44" si="17">IF($D$4="",0,ROUNDDOWN($M$6,-3))</f>
        <v>0</v>
      </c>
      <c r="O16" s="104">
        <f t="shared" si="0"/>
        <v>0</v>
      </c>
      <c r="P16" s="200">
        <f t="shared" ref="P16:P44" si="18">IF($D$4="","",IF($I16="",0,$I16+$L$6))</f>
        <v>94900</v>
      </c>
      <c r="Q16" s="71">
        <f>IF($D$4="",0,IF($G16&lt;20,0,IF($Q$13="",0,IF($Q$13=2,0,IF($P16&lt;$R$13,0,IF($M16&lt;=620000,VLOOKUP($M16,'3-1.標準報酬月額・保険料表'!$D$8:$L$42,9,FALSE),'3-1.標準報酬月額・保険料表'!$L$42)+ROUNDDOWN($O16*$AA$7,0))))))</f>
        <v>0</v>
      </c>
      <c r="R16" s="60">
        <f>IF($D$4="",0,IF($G16&lt;20,0,IF($O$9="",0,IF($Q$13=2,0,IF($D$10&gt;=$S$13,0,IF($P16&lt;$R$13,0,VLOOKUP($M16,'3-1.標準報酬月額・保険料表'!$D$8:$J$57,6,FALSE)+ROUNDDOWN($O16*$X$7,0)))))))</f>
        <v>0</v>
      </c>
      <c r="S16" s="60">
        <f>IF($D$4="",0,IF($G16&lt;20,0,IF($Q$13="",0,IF($Q$13=2,0,IF($D$10&lt;$S$13,0,IF($P16&lt;$R$13,0,VLOOKUP($M16,'3-1.標準報酬月額・保険料表'!$D$8:$J$57,7,FALSE)+ROUNDDOWN($O16*$Y$7,0)))))))</f>
        <v>0</v>
      </c>
      <c r="T16" s="76">
        <f t="shared" ref="T16:T44" si="19">SUM($Q16:$S16)</f>
        <v>0</v>
      </c>
      <c r="U16" s="81">
        <f>IF($D$4="",0,IF($U$13="",0,IF($U$13=1,0,IF($G16&lt;$W$13,0,IF($K16&lt;$V$13,0,IF($M16&lt;=620000,VLOOKUP($M16,'3-1.標準報酬月額・保険料表'!$D$8:$L$42,9,FALSE),'3-1.標準報酬月額・保険料表'!$L$42)+ROUNDDOWN($O16*$AA$7,0))))))</f>
        <v>0</v>
      </c>
      <c r="V16" s="82">
        <f>IF($D$4="",0,IF($U$13="",0,IF($U$13=1,0,IF($G16&lt;$W$13,0,IF($K16&lt;$V$13,0,IF($D$10&gt;=$X$13,0,VLOOKUP($M16,'3-1.標準報酬月額・保険料表'!$D$8:$J$57,6,FALSE)+ROUNDDOWN($O16*$X$7,0)))))))</f>
        <v>0</v>
      </c>
      <c r="W16" s="82">
        <f>IF($D$4="",0,IF($U$13="",0,IF($U$13=1,0,IF($G16&lt;$W$13,0,IF($K16&lt;$V$13,0,IF($D$10&lt;$X$13,0,VLOOKUP($M16,'3-1.標準報酬月額・保険料表'!$D$8:$J$57,7,FALSE)+ROUNDDOWN($O16*$Y$7,0)))))))</f>
        <v>0</v>
      </c>
      <c r="X16" s="83">
        <f t="shared" ref="X16:X44" si="20">SUM($U16:$W16)</f>
        <v>0</v>
      </c>
      <c r="Y16" s="144">
        <f t="shared" si="1"/>
        <v>0</v>
      </c>
      <c r="Z16" s="144">
        <f>IF($D$4="",0,IF($U$13="",0,IF($U$13=1,0,IF(AND($K16&gt;=$V$13,$G16&lt;$W$13),'3-3.国民健康保険料簡易計算'!$Q11,0))))</f>
        <v>0</v>
      </c>
      <c r="AA16" s="144">
        <f>SUM($Y16:$Z16)</f>
        <v>0</v>
      </c>
      <c r="AB16" s="73">
        <f t="shared" si="2"/>
        <v>6976.8</v>
      </c>
      <c r="AC16" s="78">
        <f t="shared" si="3"/>
        <v>6976.8</v>
      </c>
      <c r="AD16" s="162">
        <f>IF($D$4="","",VLOOKUP($K16,'3-2.所得算出参照表'!K$5:L$10,2,TRUE))</f>
        <v>1625000</v>
      </c>
      <c r="AE16" s="163">
        <f>IF($AD16="",0,IF($AD16='3-2.所得算出参照表'!$B$5,'3-2.所得算出参照表'!$E$5,IF('4-1.労働時間延長メニューメイン-1'!$AD16='3-2.所得算出参照表'!$B$6,'4-1.労働時間延長メニューメイン-1'!$K16*'3-2.所得算出参照表'!$E$6+'3-2.所得算出参照表'!$G$6,IF('4-1.労働時間延長メニューメイン-1'!$AD16='3-2.所得算出参照表'!$B$7,'4-1.労働時間延長メニューメイン-1'!$K16*'3-2.所得算出参照表'!$E$7+'3-2.所得算出参照表'!$G$7,IF('4-1.労働時間延長メニューメイン-1'!$AD16='3-2.所得算出参照表'!$B$8,'4-1.労働時間延長メニューメイン-1'!$K16*'3-2.所得算出参照表'!$E$8+'3-2.所得算出参照表'!$G$8,IF('4-1.労働時間延長メニューメイン-1'!$AD16='3-2.所得算出参照表'!$B$9,'4-1.労働時間延長メニューメイン-1'!$K16*'3-2.所得算出参照表'!$E$9+'3-2.所得算出参照表'!$G$9,IF($AD16='3-2.所得算出参照表'!$B$10,'3-2.所得算出参照表'!$G$10)))))))</f>
        <v>550000</v>
      </c>
      <c r="AF16" s="123">
        <f t="shared" si="4"/>
        <v>480000</v>
      </c>
      <c r="AG16" s="118">
        <f t="shared" ref="AG16:AG44" si="21">IF($AD16="",0,IF(ROUNDDOWN($K16-$AC16-$AE16-$AF16,-3)&lt;=0,0,ROUNDDOWN($K16-$AC16-$AE16-$AF16,-3)))</f>
        <v>125000</v>
      </c>
      <c r="AH16" s="165">
        <f>VLOOKUP($AG16,'3-2.所得算出参照表'!$N$4:$O$11,2,TRUE)</f>
        <v>0.05</v>
      </c>
      <c r="AI16" s="118">
        <f>VLOOKUP($AG16,'3-2.所得算出参照表'!$P$4:$Q$11,2,TRUE)</f>
        <v>0</v>
      </c>
      <c r="AJ16" s="118">
        <f t="shared" ref="AJ16:AJ21" si="22">$AG16*AH16-$AI16</f>
        <v>6250</v>
      </c>
      <c r="AK16" s="118">
        <f>$AJ16*'3-2.所得算出参照表'!$D$14</f>
        <v>131.25</v>
      </c>
      <c r="AL16" s="132">
        <f t="shared" ref="AL16:AL21" si="23">ROUNDDOWN($AJ16+$AK16,-2)</f>
        <v>6300</v>
      </c>
      <c r="AM16" s="140">
        <f>IF($AD16="",0,IF($AD16='3-2.所得算出参照表'!$B$5,'3-2.所得算出参照表'!$E$5,IF('4-1.労働時間延長メニューメイン-1'!$AD16='3-2.所得算出参照表'!$B$6,'4-1.労働時間延長メニューメイン-1'!$K16*'3-2.所得算出参照表'!$E$6+'3-2.所得算出参照表'!$G$6,IF('4-1.労働時間延長メニューメイン-1'!$AD16='3-2.所得算出参照表'!$B$7,'4-1.労働時間延長メニューメイン-1'!$K16*'3-2.所得算出参照表'!$E$7+'3-2.所得算出参照表'!$G$7,IF('4-1.労働時間延長メニューメイン-1'!$AD16='3-2.所得算出参照表'!$B$8,'4-1.労働時間延長メニューメイン-1'!$K16*'3-2.所得算出参照表'!$E$8+'3-2.所得算出参照表'!$G$8,IF('4-1.労働時間延長メニューメイン-1'!$AD16='3-2.所得算出参照表'!$B$9,'4-1.労働時間延長メニューメイン-1'!$K16*'3-2.所得算出参照表'!$E$9+'3-2.所得算出参照表'!$G$9,IF($AD16='3-2.所得算出参照表'!$B$10,'3-2.所得算出参照表'!$G$10)))))))</f>
        <v>550000</v>
      </c>
      <c r="AN16" s="82">
        <f t="shared" si="5"/>
        <v>430000</v>
      </c>
      <c r="AO16" s="128">
        <f t="shared" si="6"/>
        <v>175000</v>
      </c>
      <c r="AP16" s="128">
        <f t="shared" si="7"/>
        <v>5500</v>
      </c>
      <c r="AQ16" s="129">
        <f t="shared" si="8"/>
        <v>0.1</v>
      </c>
      <c r="AR16" s="136">
        <f t="shared" ref="AR16:AR43" si="24">IF($AO16*$AQ$13=0,0,$AO16*$AQ$13-IF($AO16&lt;=$AR$13,($AF16-$AN16)*0.05,IF($AO16&gt;$AR$13,IF($AO16&gt;$AR$13,($AF16-$AN16)-($AO16-$AR$13)*0.05)))+$AP16)</f>
        <v>20500</v>
      </c>
      <c r="AS16" s="155">
        <f t="shared" si="9"/>
        <v>1129023.2</v>
      </c>
      <c r="AZ16" s="235" t="s">
        <v>294</v>
      </c>
      <c r="BA16" s="844" t="s">
        <v>295</v>
      </c>
      <c r="BB16" s="844"/>
      <c r="BC16" s="226">
        <v>40</v>
      </c>
    </row>
    <row r="17" spans="2:45" ht="21.95" customHeight="1" x14ac:dyDescent="0.15">
      <c r="B17" s="111">
        <v>3</v>
      </c>
      <c r="C17" s="612">
        <f t="shared" ref="C17:C44" si="25">IF($D$4="",0,IF($G17&lt;=0,0,IF($F17="","",$D$9+$C$13)))</f>
        <v>1040</v>
      </c>
      <c r="D17" s="619">
        <f t="shared" si="10"/>
        <v>0</v>
      </c>
      <c r="E17" s="615">
        <f t="shared" si="11"/>
        <v>1040</v>
      </c>
      <c r="F17" s="614">
        <f t="shared" ref="F17:F44" si="26">IF($G16&gt;=39,"",$F16+1)</f>
        <v>2</v>
      </c>
      <c r="G17" s="94">
        <f t="shared" ref="G17:G44" si="27">IF($F17="","",IF($G$15+$F17&gt;39,0,$G$15+$F17))</f>
        <v>22</v>
      </c>
      <c r="H17" s="211">
        <f t="shared" si="12"/>
        <v>1147.1428571428571</v>
      </c>
      <c r="I17" s="107">
        <f t="shared" si="13"/>
        <v>99419.047619047618</v>
      </c>
      <c r="J17" s="101">
        <f t="shared" si="14"/>
        <v>101419.04761904762</v>
      </c>
      <c r="K17" s="108">
        <f t="shared" si="15"/>
        <v>1217028.5714285714</v>
      </c>
      <c r="L17" s="103">
        <f t="shared" si="16"/>
        <v>103419.04761904762</v>
      </c>
      <c r="M17" s="104">
        <f>IF($D$4="",0,IF($L17=0,0,VLOOKUP($L17,'3-1.標準報酬月額・保険料表'!$N$8:$O$57,2,TRUE)))</f>
        <v>104000</v>
      </c>
      <c r="N17" s="200">
        <f t="shared" si="17"/>
        <v>0</v>
      </c>
      <c r="O17" s="104">
        <f t="shared" si="0"/>
        <v>0</v>
      </c>
      <c r="P17" s="200">
        <f t="shared" si="18"/>
        <v>99419.047619047618</v>
      </c>
      <c r="Q17" s="71">
        <f>IF($D$4="",0,IF($G17&lt;20,0,IF($Q$13="",0,IF($Q$13=2,0,IF($P17&lt;$R$13,0,IF($M17&lt;=620000,VLOOKUP($M17,'3-1.標準報酬月額・保険料表'!$D$8:$L$42,9,FALSE),'3-1.標準報酬月額・保険料表'!$L$42)+ROUNDDOWN($O17*$AA$7,0))))))</f>
        <v>0</v>
      </c>
      <c r="R17" s="60">
        <f>IF($D$4="",0,IF($G17&lt;20,0,IF($O$9="",0,IF($Q$13=2,0,IF($D$10&gt;=$S$13,0,IF($P17&lt;$R$13,0,VLOOKUP($M17,'3-1.標準報酬月額・保険料表'!$D$8:$J$57,6,FALSE)+ROUNDDOWN($O17*$X$7,0)))))))</f>
        <v>0</v>
      </c>
      <c r="S17" s="60">
        <f>IF($D$4="",0,IF($G17&lt;20,0,IF($Q$13="",0,IF($Q$13=2,0,IF($D$10&lt;$S$13,0,IF($P17&lt;$R$13,0,VLOOKUP($M17,'3-1.標準報酬月額・保険料表'!$D$8:$J$57,7,FALSE)+ROUNDDOWN($O17*$Y$7,0)))))))</f>
        <v>0</v>
      </c>
      <c r="T17" s="76">
        <f t="shared" si="19"/>
        <v>0</v>
      </c>
      <c r="U17" s="81">
        <f>IF($D$4="",0,IF($U$13="",0,IF($U$13=1,0,IF($G17&lt;$W$13,0,IF($K17&lt;$V$13,0,IF($M17&lt;=620000,VLOOKUP($M17,'3-1.標準報酬月額・保険料表'!$D$8:$L$42,9,FALSE),'3-1.標準報酬月額・保険料表'!$L$42)+ROUNDDOWN($O17*$AA$7,0))))))</f>
        <v>0</v>
      </c>
      <c r="V17" s="82">
        <f>IF($D$4="",0,IF($U$13="",0,IF($U$13=1,0,IF($G17&lt;$W$13,0,IF($K17&lt;$V$13,0,IF($D$10&gt;=$X$13,0,VLOOKUP($M17,'3-1.標準報酬月額・保険料表'!$D$8:$J$57,6,FALSE)+ROUNDDOWN($O17*$X$7,0)))))))</f>
        <v>0</v>
      </c>
      <c r="W17" s="82">
        <f>IF($D$4="",0,IF($U$13="",0,IF($U$13=1,0,IF($G17&lt;$W$13,0,IF($K17&lt;$V$13,0,IF($D$10&lt;$X$13,0,VLOOKUP($M17,'3-1.標準報酬月額・保険料表'!$D$8:$J$57,7,FALSE)+ROUNDDOWN($O17*$Y$7,0)))))))</f>
        <v>0</v>
      </c>
      <c r="X17" s="83">
        <f t="shared" si="20"/>
        <v>0</v>
      </c>
      <c r="Y17" s="144">
        <f t="shared" si="1"/>
        <v>0</v>
      </c>
      <c r="Z17" s="144">
        <f>IF($D$4="",0,IF($U$13="",0,IF($U$13=1,0,IF(AND($K17&gt;=$V$13,$G17&lt;$W$13),'3-3.国民健康保険料簡易計算'!$Q12,0))))</f>
        <v>0</v>
      </c>
      <c r="AA17" s="144">
        <f t="shared" ref="AA17:AA44" si="28">SUM($Y17:$Z17)</f>
        <v>0</v>
      </c>
      <c r="AB17" s="73">
        <f t="shared" si="2"/>
        <v>7302.1714285714279</v>
      </c>
      <c r="AC17" s="78">
        <f t="shared" si="3"/>
        <v>7302.1714285714279</v>
      </c>
      <c r="AD17" s="162">
        <f>IF($D$4="","",VLOOKUP($K17,'3-2.所得算出参照表'!K$5:L$10,2,TRUE))</f>
        <v>1625000</v>
      </c>
      <c r="AE17" s="163">
        <f>IF($AD17="",0,IF($AD17='3-2.所得算出参照表'!$B$5,'3-2.所得算出参照表'!$E$5,IF('4-1.労働時間延長メニューメイン-1'!$AD17='3-2.所得算出参照表'!$B$6,'4-1.労働時間延長メニューメイン-1'!$K17*'3-2.所得算出参照表'!$E$6+'3-2.所得算出参照表'!$G$6,IF('4-1.労働時間延長メニューメイン-1'!$AD17='3-2.所得算出参照表'!$B$7,'4-1.労働時間延長メニューメイン-1'!$K17*'3-2.所得算出参照表'!$E$7+'3-2.所得算出参照表'!$G$7,IF('4-1.労働時間延長メニューメイン-1'!$AD17='3-2.所得算出参照表'!$B$8,'4-1.労働時間延長メニューメイン-1'!$K17*'3-2.所得算出参照表'!$E$8+'3-2.所得算出参照表'!$G$8,IF('4-1.労働時間延長メニューメイン-1'!$AD17='3-2.所得算出参照表'!$B$9,'4-1.労働時間延長メニューメイン-1'!$K17*'3-2.所得算出参照表'!$E$9+'3-2.所得算出参照表'!$G$9,IF($AD17='3-2.所得算出参照表'!$B$10,'3-2.所得算出参照表'!$G$10)))))))</f>
        <v>550000</v>
      </c>
      <c r="AF17" s="123">
        <f t="shared" si="4"/>
        <v>480000</v>
      </c>
      <c r="AG17" s="118">
        <f t="shared" si="21"/>
        <v>179000</v>
      </c>
      <c r="AH17" s="165">
        <f>VLOOKUP($AG17,'3-2.所得算出参照表'!$N$4:$O$11,2,TRUE)</f>
        <v>0.05</v>
      </c>
      <c r="AI17" s="118">
        <f>VLOOKUP($AG17,'3-2.所得算出参照表'!$P$4:$Q$11,2,TRUE)</f>
        <v>0</v>
      </c>
      <c r="AJ17" s="118">
        <f t="shared" si="22"/>
        <v>8950</v>
      </c>
      <c r="AK17" s="118">
        <f>$AJ17*'3-2.所得算出参照表'!$D$14</f>
        <v>187.95000000000002</v>
      </c>
      <c r="AL17" s="132">
        <f t="shared" si="23"/>
        <v>9100</v>
      </c>
      <c r="AM17" s="140">
        <f>IF($AD17="",0,IF($AD17='3-2.所得算出参照表'!$B$5,'3-2.所得算出参照表'!$E$5,IF('4-1.労働時間延長メニューメイン-1'!$AD17='3-2.所得算出参照表'!$B$6,'4-1.労働時間延長メニューメイン-1'!$K17*'3-2.所得算出参照表'!$E$6+'3-2.所得算出参照表'!$G$6,IF('4-1.労働時間延長メニューメイン-1'!$AD17='3-2.所得算出参照表'!$B$7,'4-1.労働時間延長メニューメイン-1'!$K17*'3-2.所得算出参照表'!$E$7+'3-2.所得算出参照表'!$G$7,IF('4-1.労働時間延長メニューメイン-1'!$AD17='3-2.所得算出参照表'!$B$8,'4-1.労働時間延長メニューメイン-1'!$K17*'3-2.所得算出参照表'!$E$8+'3-2.所得算出参照表'!$G$8,IF('4-1.労働時間延長メニューメイン-1'!$AD17='3-2.所得算出参照表'!$B$9,'4-1.労働時間延長メニューメイン-1'!$K17*'3-2.所得算出参照表'!$E$9+'3-2.所得算出参照表'!$G$9,IF($AD17='3-2.所得算出参照表'!$B$10,'3-2.所得算出参照表'!$G$10)))))))</f>
        <v>550000</v>
      </c>
      <c r="AN17" s="82">
        <f t="shared" si="5"/>
        <v>430000</v>
      </c>
      <c r="AO17" s="128">
        <f t="shared" si="6"/>
        <v>229000</v>
      </c>
      <c r="AP17" s="128">
        <f t="shared" si="7"/>
        <v>5500</v>
      </c>
      <c r="AQ17" s="129">
        <f t="shared" si="8"/>
        <v>0.1</v>
      </c>
      <c r="AR17" s="136">
        <f t="shared" si="24"/>
        <v>25900</v>
      </c>
      <c r="AS17" s="155">
        <f t="shared" si="9"/>
        <v>1174726.3999999999</v>
      </c>
    </row>
    <row r="18" spans="2:45" ht="21.95" customHeight="1" x14ac:dyDescent="0.15">
      <c r="B18" s="110">
        <v>4</v>
      </c>
      <c r="C18" s="612">
        <f t="shared" si="25"/>
        <v>1040</v>
      </c>
      <c r="D18" s="619">
        <f t="shared" si="10"/>
        <v>0</v>
      </c>
      <c r="E18" s="615">
        <f t="shared" si="11"/>
        <v>1040</v>
      </c>
      <c r="F18" s="614">
        <f t="shared" si="26"/>
        <v>3</v>
      </c>
      <c r="G18" s="94">
        <f t="shared" si="27"/>
        <v>23</v>
      </c>
      <c r="H18" s="211">
        <f t="shared" si="12"/>
        <v>1199.2857142857142</v>
      </c>
      <c r="I18" s="107">
        <f t="shared" si="13"/>
        <v>103938.09523809522</v>
      </c>
      <c r="J18" s="101">
        <f t="shared" si="14"/>
        <v>105938.09523809522</v>
      </c>
      <c r="K18" s="108">
        <f>IF($D$4="",0,IF($J18=0,0,$J18*12+$M$6))</f>
        <v>1271257.1428571427</v>
      </c>
      <c r="L18" s="103">
        <f t="shared" si="16"/>
        <v>107938.09523809522</v>
      </c>
      <c r="M18" s="104">
        <f>IF($D$4="",0,IF($L18=0,0,VLOOKUP($L18,'3-1.標準報酬月額・保険料表'!$N$8:$O$57,2,TRUE)))</f>
        <v>110000</v>
      </c>
      <c r="N18" s="200">
        <f t="shared" si="17"/>
        <v>0</v>
      </c>
      <c r="O18" s="104">
        <f t="shared" si="0"/>
        <v>0</v>
      </c>
      <c r="P18" s="200">
        <f t="shared" si="18"/>
        <v>103938.09523809522</v>
      </c>
      <c r="Q18" s="71">
        <f>IF($D$4="",0,IF($G18&lt;20,0,IF($Q$13="",0,IF($Q$13=2,0,IF($P18&lt;$R$13,0,IF($M18&lt;=620000,VLOOKUP($M18,'3-1.標準報酬月額・保険料表'!$D$8:$L$42,9,FALSE),'3-1.標準報酬月額・保険料表'!$L$42)+ROUNDDOWN($O18*$AA$7,0))))))</f>
        <v>0</v>
      </c>
      <c r="R18" s="60">
        <f>IF($D$4="",0,IF($G18&lt;20,0,IF($O$9="",0,IF($Q$13=2,0,IF($D$10&gt;=$S$13,0,IF($P18&lt;$R$13,0,VLOOKUP($M18,'3-1.標準報酬月額・保険料表'!$D$8:$J$57,6,FALSE)+ROUNDDOWN($O18*$X$7,0)))))))</f>
        <v>0</v>
      </c>
      <c r="S18" s="60">
        <f>IF($D$4="",0,IF($G18&lt;20,0,IF($Q$13="",0,IF($Q$13=2,0,IF($D$10&lt;$S$13,0,IF($P18&lt;$R$13,0,VLOOKUP($M18,'3-1.標準報酬月額・保険料表'!$D$8:$J$57,7,FALSE)+ROUNDDOWN($O18*$Y$7,0)))))))</f>
        <v>0</v>
      </c>
      <c r="T18" s="76">
        <f t="shared" si="19"/>
        <v>0</v>
      </c>
      <c r="U18" s="81">
        <f>IF($D$4="",0,IF($U$13="",0,IF($U$13=1,0,IF($G18&lt;$W$13,0,IF($K18&lt;$V$13,0,IF($M18&lt;=620000,VLOOKUP($M18,'3-1.標準報酬月額・保険料表'!$D$8:$L$42,9,FALSE),'3-1.標準報酬月額・保険料表'!$L$42)+ROUNDDOWN($O18*$AA$7,0))))))</f>
        <v>0</v>
      </c>
      <c r="V18" s="82">
        <f>IF($D$4="",0,IF($U$13="",0,IF($U$13=1,0,IF($G18&lt;$W$13,0,IF($K18&lt;$V$13,0,IF($D$10&gt;=$X$13,0,VLOOKUP($M18,'3-1.標準報酬月額・保険料表'!$D$8:$J$57,6,FALSE)+ROUNDDOWN($O18*$X$7,0)))))))</f>
        <v>0</v>
      </c>
      <c r="W18" s="82">
        <f>IF($D$4="",0,IF($U$13="",0,IF($U$13=1,0,IF($G18&lt;$W$13,0,IF($K18&lt;$V$13,0,IF($D$10&lt;$X$13,0,VLOOKUP($M18,'3-1.標準報酬月額・保険料表'!$D$8:$J$57,7,FALSE)+ROUNDDOWN($O18*$Y$7,0)))))))</f>
        <v>0</v>
      </c>
      <c r="X18" s="83">
        <f t="shared" si="20"/>
        <v>0</v>
      </c>
      <c r="Y18" s="144">
        <f t="shared" si="1"/>
        <v>0</v>
      </c>
      <c r="Z18" s="144">
        <f>IF($D$4="",0,IF($U$13="",0,IF($U$13=1,0,IF(AND($K18&gt;=$V$13,$G18&lt;$W$13),'3-3.国民健康保険料簡易計算'!$Q13,0))))</f>
        <v>0</v>
      </c>
      <c r="AA18" s="144">
        <f t="shared" si="28"/>
        <v>0</v>
      </c>
      <c r="AB18" s="73">
        <f t="shared" si="2"/>
        <v>7627.5428571428565</v>
      </c>
      <c r="AC18" s="78">
        <f t="shared" si="3"/>
        <v>7627.5428571428565</v>
      </c>
      <c r="AD18" s="162">
        <f>IF($D$4="","",VLOOKUP($K18,'3-2.所得算出参照表'!K$5:L$10,2,TRUE))</f>
        <v>1625000</v>
      </c>
      <c r="AE18" s="163">
        <f>IF($AD18="",0,IF($AD18='3-2.所得算出参照表'!$B$5,'3-2.所得算出参照表'!$E$5,IF('4-1.労働時間延長メニューメイン-1'!$AD18='3-2.所得算出参照表'!$B$6,'4-1.労働時間延長メニューメイン-1'!$K18*'3-2.所得算出参照表'!$E$6+'3-2.所得算出参照表'!$G$6,IF('4-1.労働時間延長メニューメイン-1'!$AD18='3-2.所得算出参照表'!$B$7,'4-1.労働時間延長メニューメイン-1'!$K18*'3-2.所得算出参照表'!$E$7+'3-2.所得算出参照表'!$G$7,IF('4-1.労働時間延長メニューメイン-1'!$AD18='3-2.所得算出参照表'!$B$8,'4-1.労働時間延長メニューメイン-1'!$K18*'3-2.所得算出参照表'!$E$8+'3-2.所得算出参照表'!$G$8,IF('4-1.労働時間延長メニューメイン-1'!$AD18='3-2.所得算出参照表'!$B$9,'4-1.労働時間延長メニューメイン-1'!$K18*'3-2.所得算出参照表'!$E$9+'3-2.所得算出参照表'!$G$9,IF($AD18='3-2.所得算出参照表'!$B$10,'3-2.所得算出参照表'!$G$10)))))))</f>
        <v>550000</v>
      </c>
      <c r="AF18" s="123">
        <f t="shared" si="4"/>
        <v>480000</v>
      </c>
      <c r="AG18" s="118">
        <f t="shared" si="21"/>
        <v>233000</v>
      </c>
      <c r="AH18" s="165">
        <f>VLOOKUP($AG18,'3-2.所得算出参照表'!$N$4:$O$11,2,TRUE)</f>
        <v>0.05</v>
      </c>
      <c r="AI18" s="118">
        <f>VLOOKUP($AG18,'3-2.所得算出参照表'!$P$4:$Q$11,2,TRUE)</f>
        <v>0</v>
      </c>
      <c r="AJ18" s="118">
        <f t="shared" si="22"/>
        <v>11650</v>
      </c>
      <c r="AK18" s="118">
        <f>$AJ18*'3-2.所得算出参照表'!$D$14</f>
        <v>244.65</v>
      </c>
      <c r="AL18" s="132">
        <f t="shared" si="23"/>
        <v>11800</v>
      </c>
      <c r="AM18" s="140">
        <f>IF($AD18="",0,IF($AD18='3-2.所得算出参照表'!$B$5,'3-2.所得算出参照表'!$E$5,IF('4-1.労働時間延長メニューメイン-1'!$AD18='3-2.所得算出参照表'!$B$6,'4-1.労働時間延長メニューメイン-1'!$K18*'3-2.所得算出参照表'!$E$6+'3-2.所得算出参照表'!$G$6,IF('4-1.労働時間延長メニューメイン-1'!$AD18='3-2.所得算出参照表'!$B$7,'4-1.労働時間延長メニューメイン-1'!$K18*'3-2.所得算出参照表'!$E$7+'3-2.所得算出参照表'!$G$7,IF('4-1.労働時間延長メニューメイン-1'!$AD18='3-2.所得算出参照表'!$B$8,'4-1.労働時間延長メニューメイン-1'!$K18*'3-2.所得算出参照表'!$E$8+'3-2.所得算出参照表'!$G$8,IF('4-1.労働時間延長メニューメイン-1'!$AD18='3-2.所得算出参照表'!$B$9,'4-1.労働時間延長メニューメイン-1'!$K18*'3-2.所得算出参照表'!$E$9+'3-2.所得算出参照表'!$G$9,IF($AD18='3-2.所得算出参照表'!$B$10,'3-2.所得算出参照表'!$G$10)))))))</f>
        <v>550000</v>
      </c>
      <c r="AN18" s="82">
        <f t="shared" si="5"/>
        <v>430000</v>
      </c>
      <c r="AO18" s="128">
        <f t="shared" si="6"/>
        <v>283000</v>
      </c>
      <c r="AP18" s="128">
        <f t="shared" si="7"/>
        <v>5500</v>
      </c>
      <c r="AQ18" s="129">
        <f t="shared" si="8"/>
        <v>0.1</v>
      </c>
      <c r="AR18" s="136">
        <f t="shared" si="24"/>
        <v>31300</v>
      </c>
      <c r="AS18" s="155">
        <f t="shared" si="9"/>
        <v>1220529.5999999999</v>
      </c>
    </row>
    <row r="19" spans="2:45" ht="21.95" customHeight="1" x14ac:dyDescent="0.15">
      <c r="B19" s="111">
        <v>5</v>
      </c>
      <c r="C19" s="612">
        <f t="shared" si="25"/>
        <v>1040</v>
      </c>
      <c r="D19" s="619">
        <f t="shared" si="10"/>
        <v>0</v>
      </c>
      <c r="E19" s="615">
        <f t="shared" si="11"/>
        <v>1040</v>
      </c>
      <c r="F19" s="614">
        <f t="shared" si="26"/>
        <v>4</v>
      </c>
      <c r="G19" s="94">
        <f t="shared" si="27"/>
        <v>24</v>
      </c>
      <c r="H19" s="211">
        <f>IF($D$7="","",IF($G19="","",$G19*365/7))</f>
        <v>1251.4285714285713</v>
      </c>
      <c r="I19" s="107">
        <f>IF($D$4="","",IF($E19="",0,$E19*$H19/12))</f>
        <v>108457.14285714284</v>
      </c>
      <c r="J19" s="101">
        <f t="shared" si="14"/>
        <v>110457.14285714284</v>
      </c>
      <c r="K19" s="108">
        <f t="shared" si="15"/>
        <v>1325485.7142857141</v>
      </c>
      <c r="L19" s="103">
        <f t="shared" si="16"/>
        <v>112457.14285714284</v>
      </c>
      <c r="M19" s="104">
        <f>IF($D$4="",0,IF($L19=0,0,VLOOKUP($L19,'3-1.標準報酬月額・保険料表'!$N$8:$O$57,2,TRUE)))</f>
        <v>110000</v>
      </c>
      <c r="N19" s="200">
        <f t="shared" si="17"/>
        <v>0</v>
      </c>
      <c r="O19" s="104">
        <f t="shared" si="0"/>
        <v>0</v>
      </c>
      <c r="P19" s="200">
        <f t="shared" si="18"/>
        <v>108457.14285714284</v>
      </c>
      <c r="Q19" s="71">
        <f>IF($D$4="",0,IF($G19&lt;20,0,IF($Q$13="",0,IF($Q$13=2,0,IF($P19&lt;$R$13,0,IF($M19&lt;=620000,VLOOKUP($M19,'3-1.標準報酬月額・保険料表'!$D$8:$L$42,9,FALSE),'3-1.標準報酬月額・保険料表'!$L$42)+ROUNDDOWN($O19*$AA$7,0))))))</f>
        <v>0</v>
      </c>
      <c r="R19" s="60">
        <f>IF($D$4="",0,IF($G19&lt;20,0,IF($O$9="",0,IF($Q$13=2,0,IF($D$10&gt;=$S$13,0,IF($P19&lt;$R$13,0,VLOOKUP($M19,'3-1.標準報酬月額・保険料表'!$D$8:$J$57,6,FALSE)+ROUNDDOWN($O19*$X$7,0)))))))</f>
        <v>0</v>
      </c>
      <c r="S19" s="60">
        <f>IF($D$4="",0,IF($G19&lt;20,0,IF($Q$13="",0,IF($Q$13=2,0,IF($D$10&lt;$S$13,0,IF($P19&lt;$R$13,0,VLOOKUP($M19,'3-1.標準報酬月額・保険料表'!$D$8:$J$57,7,FALSE)+ROUNDDOWN($O19*$Y$7,0)))))))</f>
        <v>0</v>
      </c>
      <c r="T19" s="76">
        <f t="shared" si="19"/>
        <v>0</v>
      </c>
      <c r="U19" s="81">
        <f>IF($D$4="",0,IF($U$13="",0,IF($U$13=1,0,IF($G19&lt;$W$13,0,IF($K19&lt;$V$13,0,IF($M19&lt;=620000,VLOOKUP($M19,'3-1.標準報酬月額・保険料表'!$D$8:$L$42,9,FALSE),'3-1.標準報酬月額・保険料表'!$L$42)+ROUNDDOWN($O19*$AA$7,0))))))</f>
        <v>0</v>
      </c>
      <c r="V19" s="82">
        <f>IF($D$4="",0,IF($U$13="",0,IF($U$13=1,0,IF($G19&lt;$W$13,0,IF($K19&lt;$V$13,0,IF($D$10&gt;=$X$13,0,VLOOKUP($M19,'3-1.標準報酬月額・保険料表'!$D$8:$J$57,6,FALSE)+ROUNDDOWN($O19*$X$7,0)))))))</f>
        <v>0</v>
      </c>
      <c r="W19" s="82">
        <f>IF($D$4="",0,IF($U$13="",0,IF($U$13=1,0,IF($G19&lt;$W$13,0,IF($K19&lt;$V$13,0,IF($D$10&lt;$X$13,0,VLOOKUP($M19,'3-1.標準報酬月額・保険料表'!$D$8:$J$57,7,FALSE)+ROUNDDOWN($O19*$Y$7,0)))))))</f>
        <v>0</v>
      </c>
      <c r="X19" s="83">
        <f t="shared" si="20"/>
        <v>0</v>
      </c>
      <c r="Y19" s="144">
        <f t="shared" si="1"/>
        <v>198240</v>
      </c>
      <c r="Z19" s="144">
        <f>IF($D$4="",0,IF($U$13="",0,IF($U$13=1,0,IF(AND($K19&gt;=$V$13,$G19&lt;$W$13),'3-3.国民健康保険料簡易計算'!$Q14,0))))</f>
        <v>105429</v>
      </c>
      <c r="AA19" s="144">
        <f t="shared" si="28"/>
        <v>303669</v>
      </c>
      <c r="AB19" s="73">
        <f t="shared" si="2"/>
        <v>7952.9142857142842</v>
      </c>
      <c r="AC19" s="78">
        <f t="shared" si="3"/>
        <v>311621.91428571427</v>
      </c>
      <c r="AD19" s="162">
        <f>IF($D$4="","",VLOOKUP($K19,'3-2.所得算出参照表'!K$5:L$10,2,TRUE))</f>
        <v>1625000</v>
      </c>
      <c r="AE19" s="163">
        <f>IF($AD19="",0,IF($AD19='3-2.所得算出参照表'!$B$5,'3-2.所得算出参照表'!$E$5,IF('4-1.労働時間延長メニューメイン-1'!$AD19='3-2.所得算出参照表'!$B$6,'4-1.労働時間延長メニューメイン-1'!$K19*'3-2.所得算出参照表'!$E$6+'3-2.所得算出参照表'!$G$6,IF('4-1.労働時間延長メニューメイン-1'!$AD19='3-2.所得算出参照表'!$B$7,'4-1.労働時間延長メニューメイン-1'!$K19*'3-2.所得算出参照表'!$E$7+'3-2.所得算出参照表'!$G$7,IF('4-1.労働時間延長メニューメイン-1'!$AD19='3-2.所得算出参照表'!$B$8,'4-1.労働時間延長メニューメイン-1'!$K19*'3-2.所得算出参照表'!$E$8+'3-2.所得算出参照表'!$G$8,IF('4-1.労働時間延長メニューメイン-1'!$AD19='3-2.所得算出参照表'!$B$9,'4-1.労働時間延長メニューメイン-1'!$K19*'3-2.所得算出参照表'!$E$9+'3-2.所得算出参照表'!$G$9,IF($AD19='3-2.所得算出参照表'!$B$10,'3-2.所得算出参照表'!$G$10)))))))</f>
        <v>550000</v>
      </c>
      <c r="AF19" s="123">
        <f t="shared" si="4"/>
        <v>480000</v>
      </c>
      <c r="AG19" s="118">
        <f t="shared" si="21"/>
        <v>0</v>
      </c>
      <c r="AH19" s="165">
        <f>VLOOKUP($AG19,'3-2.所得算出参照表'!$N$4:$O$11,2,TRUE)</f>
        <v>0</v>
      </c>
      <c r="AI19" s="118">
        <f>VLOOKUP($AG19,'3-2.所得算出参照表'!$P$4:$Q$11,2,TRUE)</f>
        <v>0</v>
      </c>
      <c r="AJ19" s="118">
        <f t="shared" si="22"/>
        <v>0</v>
      </c>
      <c r="AK19" s="118">
        <f>$AJ19*'3-2.所得算出参照表'!$D$14</f>
        <v>0</v>
      </c>
      <c r="AL19" s="132">
        <f t="shared" si="23"/>
        <v>0</v>
      </c>
      <c r="AM19" s="140">
        <f>IF($AD19="",0,IF($AD19='3-2.所得算出参照表'!$B$5,'3-2.所得算出参照表'!$E$5,IF('4-1.労働時間延長メニューメイン-1'!$AD19='3-2.所得算出参照表'!$B$6,'4-1.労働時間延長メニューメイン-1'!$K19*'3-2.所得算出参照表'!$E$6+'3-2.所得算出参照表'!$G$6,IF('4-1.労働時間延長メニューメイン-1'!$AD19='3-2.所得算出参照表'!$B$7,'4-1.労働時間延長メニューメイン-1'!$K19*'3-2.所得算出参照表'!$E$7+'3-2.所得算出参照表'!$G$7,IF('4-1.労働時間延長メニューメイン-1'!$AD19='3-2.所得算出参照表'!$B$8,'4-1.労働時間延長メニューメイン-1'!$K19*'3-2.所得算出参照表'!$E$8+'3-2.所得算出参照表'!$G$8,IF('4-1.労働時間延長メニューメイン-1'!$AD19='3-2.所得算出参照表'!$B$9,'4-1.労働時間延長メニューメイン-1'!$K19*'3-2.所得算出参照表'!$E$9+'3-2.所得算出参照表'!$G$9,IF($AD19='3-2.所得算出参照表'!$B$10,'3-2.所得算出参照表'!$G$10)))))))</f>
        <v>550000</v>
      </c>
      <c r="AN19" s="82">
        <f t="shared" si="5"/>
        <v>430000</v>
      </c>
      <c r="AO19" s="128">
        <f t="shared" si="6"/>
        <v>33000</v>
      </c>
      <c r="AP19" s="128">
        <f t="shared" si="7"/>
        <v>5500</v>
      </c>
      <c r="AQ19" s="129">
        <f t="shared" si="8"/>
        <v>0.1</v>
      </c>
      <c r="AR19" s="136">
        <f t="shared" si="24"/>
        <v>6300</v>
      </c>
      <c r="AS19" s="155">
        <f t="shared" si="9"/>
        <v>1007563.7999999998</v>
      </c>
    </row>
    <row r="20" spans="2:45" ht="21.95" customHeight="1" x14ac:dyDescent="0.15">
      <c r="B20" s="111">
        <v>6</v>
      </c>
      <c r="C20" s="612">
        <f t="shared" si="25"/>
        <v>1040</v>
      </c>
      <c r="D20" s="619">
        <f t="shared" si="10"/>
        <v>0</v>
      </c>
      <c r="E20" s="615">
        <f t="shared" si="11"/>
        <v>1040</v>
      </c>
      <c r="F20" s="614">
        <f t="shared" si="26"/>
        <v>5</v>
      </c>
      <c r="G20" s="94">
        <f t="shared" si="27"/>
        <v>25</v>
      </c>
      <c r="H20" s="211">
        <f t="shared" si="12"/>
        <v>1303.5714285714287</v>
      </c>
      <c r="I20" s="107">
        <f t="shared" si="13"/>
        <v>112976.19047619049</v>
      </c>
      <c r="J20" s="101">
        <f t="shared" si="14"/>
        <v>114976.19047619049</v>
      </c>
      <c r="K20" s="108">
        <f t="shared" si="15"/>
        <v>1379714.2857142859</v>
      </c>
      <c r="L20" s="103">
        <f t="shared" si="16"/>
        <v>116976.19047619049</v>
      </c>
      <c r="M20" s="104">
        <f>IF($D$4="",0,IF($L20=0,0,VLOOKUP($L20,'3-1.標準報酬月額・保険料表'!$N$8:$O$57,2,TRUE)))</f>
        <v>118000</v>
      </c>
      <c r="N20" s="200">
        <f t="shared" si="17"/>
        <v>0</v>
      </c>
      <c r="O20" s="104">
        <f t="shared" si="0"/>
        <v>0</v>
      </c>
      <c r="P20" s="200">
        <f t="shared" si="18"/>
        <v>112976.19047619049</v>
      </c>
      <c r="Q20" s="71">
        <f>IF($D$4="",0,IF($G20&lt;20,0,IF($Q$13="",0,IF($Q$13=2,0,IF($P20&lt;$R$13,0,IF($M20&lt;=620000,VLOOKUP($M20,'3-1.標準報酬月額・保険料表'!$D$8:$L$42,9,FALSE),'3-1.標準報酬月額・保険料表'!$L$42)+ROUNDDOWN($O20*$AA$7,0))))))</f>
        <v>0</v>
      </c>
      <c r="R20" s="60">
        <f>IF($D$4="",0,IF($G20&lt;20,0,IF($O$9="",0,IF($Q$13=2,0,IF($D$10&gt;=$S$13,0,IF($P20&lt;$R$13,0,VLOOKUP($M20,'3-1.標準報酬月額・保険料表'!$D$8:$J$57,6,FALSE)+ROUNDDOWN($O20*$X$7,0)))))))</f>
        <v>0</v>
      </c>
      <c r="S20" s="60">
        <f>IF($D$4="",0,IF($G20&lt;20,0,IF($Q$13="",0,IF($Q$13=2,0,IF($D$10&lt;$S$13,0,IF($P20&lt;$R$13,0,VLOOKUP($M20,'3-1.標準報酬月額・保険料表'!$D$8:$J$57,7,FALSE)+ROUNDDOWN($O20*$Y$7,0)))))))</f>
        <v>0</v>
      </c>
      <c r="T20" s="76">
        <f t="shared" si="19"/>
        <v>0</v>
      </c>
      <c r="U20" s="81">
        <f>IF($D$4="",0,IF($U$13="",0,IF($U$13=1,0,IF($G20&lt;$W$13,0,IF($K20&lt;$V$13,0,IF($M20&lt;=620000,VLOOKUP($M20,'3-1.標準報酬月額・保険料表'!$D$8:$L$42,9,FALSE),'3-1.標準報酬月額・保険料表'!$L$42)+ROUNDDOWN($O20*$AA$7,0))))))</f>
        <v>0</v>
      </c>
      <c r="V20" s="82">
        <f>IF($D$4="",0,IF($U$13="",0,IF($U$13=1,0,IF($G20&lt;$W$13,0,IF($K20&lt;$V$13,0,IF($D$10&gt;=$X$13,0,VLOOKUP($M20,'3-1.標準報酬月額・保険料表'!$D$8:$J$57,6,FALSE)+ROUNDDOWN($O20*$X$7,0)))))))</f>
        <v>0</v>
      </c>
      <c r="W20" s="82">
        <f>IF($D$4="",0,IF($U$13="",0,IF($U$13=1,0,IF($G20&lt;$W$13,0,IF($K20&lt;$V$13,0,IF($D$10&lt;$X$13,0,VLOOKUP($M20,'3-1.標準報酬月額・保険料表'!$D$8:$J$57,7,FALSE)+ROUNDDOWN($O20*$Y$7,0)))))))</f>
        <v>0</v>
      </c>
      <c r="X20" s="83">
        <f t="shared" si="20"/>
        <v>0</v>
      </c>
      <c r="Y20" s="144">
        <f t="shared" si="1"/>
        <v>198240</v>
      </c>
      <c r="Z20" s="144">
        <f>IF($D$4="",0,IF($U$13="",0,IF($U$13=1,0,IF(AND($K20&gt;=$V$13,$G20&lt;$W$13),'3-3.国民健康保険料簡易計算'!$Q15,0))))</f>
        <v>111069</v>
      </c>
      <c r="AA20" s="144">
        <f t="shared" si="28"/>
        <v>309309</v>
      </c>
      <c r="AB20" s="73">
        <f t="shared" si="2"/>
        <v>8278.2857142857156</v>
      </c>
      <c r="AC20" s="78">
        <f t="shared" si="3"/>
        <v>317587.28571428574</v>
      </c>
      <c r="AD20" s="162">
        <f>IF($D$4="","",VLOOKUP($K20,'3-2.所得算出参照表'!K$5:L$10,2,TRUE))</f>
        <v>1625000</v>
      </c>
      <c r="AE20" s="163">
        <f>IF($AD20="",0,IF($AD20='3-2.所得算出参照表'!$B$5,'3-2.所得算出参照表'!$E$5,IF('4-1.労働時間延長メニューメイン-1'!$AD20='3-2.所得算出参照表'!$B$6,'4-1.労働時間延長メニューメイン-1'!$K20*'3-2.所得算出参照表'!$E$6+'3-2.所得算出参照表'!$G$6,IF('4-1.労働時間延長メニューメイン-1'!$AD20='3-2.所得算出参照表'!$B$7,'4-1.労働時間延長メニューメイン-1'!$K20*'3-2.所得算出参照表'!$E$7+'3-2.所得算出参照表'!$G$7,IF('4-1.労働時間延長メニューメイン-1'!$AD20='3-2.所得算出参照表'!$B$8,'4-1.労働時間延長メニューメイン-1'!$K20*'3-2.所得算出参照表'!$E$8+'3-2.所得算出参照表'!$G$8,IF('4-1.労働時間延長メニューメイン-1'!$AD20='3-2.所得算出参照表'!$B$9,'4-1.労働時間延長メニューメイン-1'!$K20*'3-2.所得算出参照表'!$E$9+'3-2.所得算出参照表'!$G$9,IF($AD20='3-2.所得算出参照表'!$B$10,'3-2.所得算出参照表'!$G$10)))))))</f>
        <v>550000</v>
      </c>
      <c r="AF20" s="123">
        <f t="shared" si="4"/>
        <v>480000</v>
      </c>
      <c r="AG20" s="118">
        <f t="shared" si="21"/>
        <v>32000</v>
      </c>
      <c r="AH20" s="165">
        <f>VLOOKUP($AG20,'3-2.所得算出参照表'!$N$4:$O$11,2,TRUE)</f>
        <v>0.05</v>
      </c>
      <c r="AI20" s="118">
        <f>VLOOKUP($AG20,'3-2.所得算出参照表'!$P$4:$Q$11,2,TRUE)</f>
        <v>0</v>
      </c>
      <c r="AJ20" s="118">
        <f t="shared" si="22"/>
        <v>1600</v>
      </c>
      <c r="AK20" s="118">
        <f>$AJ20*'3-2.所得算出参照表'!$D$14</f>
        <v>33.6</v>
      </c>
      <c r="AL20" s="132">
        <f t="shared" si="23"/>
        <v>1600</v>
      </c>
      <c r="AM20" s="140">
        <f>IF($AD20="",0,IF($AD20='3-2.所得算出参照表'!$B$5,'3-2.所得算出参照表'!$E$5,IF('4-1.労働時間延長メニューメイン-1'!$AD20='3-2.所得算出参照表'!$B$6,'4-1.労働時間延長メニューメイン-1'!$K20*'3-2.所得算出参照表'!$E$6+'3-2.所得算出参照表'!$G$6,IF('4-1.労働時間延長メニューメイン-1'!$AD20='3-2.所得算出参照表'!$B$7,'4-1.労働時間延長メニューメイン-1'!$K20*'3-2.所得算出参照表'!$E$7+'3-2.所得算出参照表'!$G$7,IF('4-1.労働時間延長メニューメイン-1'!$AD20='3-2.所得算出参照表'!$B$8,'4-1.労働時間延長メニューメイン-1'!$K20*'3-2.所得算出参照表'!$E$8+'3-2.所得算出参照表'!$G$8,IF('4-1.労働時間延長メニューメイン-1'!$AD20='3-2.所得算出参照表'!$B$9,'4-1.労働時間延長メニューメイン-1'!$K20*'3-2.所得算出参照表'!$E$9+'3-2.所得算出参照表'!$G$9,IF($AD20='3-2.所得算出参照表'!$B$10,'3-2.所得算出参照表'!$G$10)))))))</f>
        <v>550000</v>
      </c>
      <c r="AN20" s="82">
        <f t="shared" si="5"/>
        <v>430000</v>
      </c>
      <c r="AO20" s="128">
        <f t="shared" si="6"/>
        <v>82000</v>
      </c>
      <c r="AP20" s="128">
        <f t="shared" si="7"/>
        <v>5500</v>
      </c>
      <c r="AQ20" s="129">
        <f t="shared" si="8"/>
        <v>0.1</v>
      </c>
      <c r="AR20" s="136">
        <f t="shared" si="24"/>
        <v>11200</v>
      </c>
      <c r="AS20" s="155">
        <f t="shared" si="9"/>
        <v>1049327.0000000002</v>
      </c>
    </row>
    <row r="21" spans="2:45" ht="21.95" customHeight="1" x14ac:dyDescent="0.15">
      <c r="B21" s="111">
        <v>7</v>
      </c>
      <c r="C21" s="612">
        <f t="shared" si="25"/>
        <v>1040</v>
      </c>
      <c r="D21" s="619">
        <f t="shared" si="10"/>
        <v>0</v>
      </c>
      <c r="E21" s="615">
        <f t="shared" si="11"/>
        <v>1040</v>
      </c>
      <c r="F21" s="614">
        <f t="shared" si="26"/>
        <v>6</v>
      </c>
      <c r="G21" s="94">
        <f t="shared" si="27"/>
        <v>26</v>
      </c>
      <c r="H21" s="211">
        <f t="shared" si="12"/>
        <v>1355.7142857142858</v>
      </c>
      <c r="I21" s="107">
        <f t="shared" si="13"/>
        <v>117495.23809523811</v>
      </c>
      <c r="J21" s="101">
        <f t="shared" si="14"/>
        <v>119495.23809523811</v>
      </c>
      <c r="K21" s="108">
        <f t="shared" si="15"/>
        <v>1433942.8571428573</v>
      </c>
      <c r="L21" s="103">
        <f t="shared" si="16"/>
        <v>121495.23809523811</v>
      </c>
      <c r="M21" s="104">
        <f>IF($D$4="",0,IF($L21=0,0,VLOOKUP($L21,'3-1.標準報酬月額・保険料表'!$N$8:$O$57,2,TRUE)))</f>
        <v>118000</v>
      </c>
      <c r="N21" s="200">
        <f t="shared" si="17"/>
        <v>0</v>
      </c>
      <c r="O21" s="104">
        <f t="shared" si="0"/>
        <v>0</v>
      </c>
      <c r="P21" s="200">
        <f t="shared" si="18"/>
        <v>117495.23809523811</v>
      </c>
      <c r="Q21" s="71">
        <f>IF($D$4="",0,IF($G21&lt;20,0,IF($Q$13="",0,IF($Q$13=2,0,IF($P21&lt;$R$13,0,IF($M21&lt;=620000,VLOOKUP($M21,'3-1.標準報酬月額・保険料表'!$D$8:$L$42,9,FALSE),'3-1.標準報酬月額・保険料表'!$L$42)+ROUNDDOWN($O21*$AA$7,0))))))</f>
        <v>0</v>
      </c>
      <c r="R21" s="60">
        <f>IF($D$4="",0,IF($G21&lt;20,0,IF($O$9="",0,IF($Q$13=2,0,IF($D$10&gt;=$S$13,0,IF($P21&lt;$R$13,0,VLOOKUP($M21,'3-1.標準報酬月額・保険料表'!$D$8:$J$57,6,FALSE)+ROUNDDOWN($O21*$X$7,0)))))))</f>
        <v>0</v>
      </c>
      <c r="S21" s="60">
        <f>IF($D$4="",0,IF($G21&lt;20,0,IF($Q$13="",0,IF($Q$13=2,0,IF($D$10&lt;$S$13,0,IF($P21&lt;$R$13,0,VLOOKUP($M21,'3-1.標準報酬月額・保険料表'!$D$8:$J$57,7,FALSE)+ROUNDDOWN($O21*$Y$7,0)))))))</f>
        <v>0</v>
      </c>
      <c r="T21" s="76">
        <f t="shared" si="19"/>
        <v>0</v>
      </c>
      <c r="U21" s="81">
        <f>IF($D$4="",0,IF($U$13="",0,IF($U$13=1,0,IF($G21&lt;$W$13,0,IF($K21&lt;$V$13,0,IF($M21&lt;=620000,VLOOKUP($M21,'3-1.標準報酬月額・保険料表'!$D$8:$L$42,9,FALSE),'3-1.標準報酬月額・保険料表'!$L$42)+ROUNDDOWN($O21*$AA$7,0))))))</f>
        <v>0</v>
      </c>
      <c r="V21" s="82">
        <f>IF($D$4="",0,IF($U$13="",0,IF($U$13=1,0,IF($G21&lt;$W$13,0,IF($K21&lt;$V$13,0,IF($D$10&gt;=$X$13,0,VLOOKUP($M21,'3-1.標準報酬月額・保険料表'!$D$8:$J$57,6,FALSE)+ROUNDDOWN($O21*$X$7,0)))))))</f>
        <v>0</v>
      </c>
      <c r="W21" s="82">
        <f>IF($D$4="",0,IF($U$13="",0,IF($U$13=1,0,IF($G21&lt;$W$13,0,IF($K21&lt;$V$13,0,IF($D$10&lt;$X$13,0,VLOOKUP($M21,'3-1.標準報酬月額・保険料表'!$D$8:$J$57,7,FALSE)+ROUNDDOWN($O21*$Y$7,0)))))))</f>
        <v>0</v>
      </c>
      <c r="X21" s="83">
        <f t="shared" si="20"/>
        <v>0</v>
      </c>
      <c r="Y21" s="144">
        <f t="shared" si="1"/>
        <v>198240</v>
      </c>
      <c r="Z21" s="144">
        <f>IF($D$4="",0,IF($U$13="",0,IF($U$13=1,0,IF(AND($K21&gt;=$V$13,$G21&lt;$W$13),'3-3.国民健康保険料簡易計算'!$Q16,0))))</f>
        <v>116709</v>
      </c>
      <c r="AA21" s="144">
        <f t="shared" si="28"/>
        <v>314949</v>
      </c>
      <c r="AB21" s="73">
        <f t="shared" si="2"/>
        <v>8603.6571428571442</v>
      </c>
      <c r="AC21" s="78">
        <f t="shared" si="3"/>
        <v>323552.65714285715</v>
      </c>
      <c r="AD21" s="162">
        <f>IF($D$4="","",VLOOKUP($K21,'3-2.所得算出参照表'!K$5:L$10,2,TRUE))</f>
        <v>1625000</v>
      </c>
      <c r="AE21" s="163">
        <f>IF($AD21="",0,IF($AD21='3-2.所得算出参照表'!$B$5,'3-2.所得算出参照表'!$E$5,IF('4-1.労働時間延長メニューメイン-1'!$AD21='3-2.所得算出参照表'!$B$6,'4-1.労働時間延長メニューメイン-1'!$K21*'3-2.所得算出参照表'!$E$6+'3-2.所得算出参照表'!$G$6,IF('4-1.労働時間延長メニューメイン-1'!$AD21='3-2.所得算出参照表'!$B$7,'4-1.労働時間延長メニューメイン-1'!$K21*'3-2.所得算出参照表'!$E$7+'3-2.所得算出参照表'!$G$7,IF('4-1.労働時間延長メニューメイン-1'!$AD21='3-2.所得算出参照表'!$B$8,'4-1.労働時間延長メニューメイン-1'!$K21*'3-2.所得算出参照表'!$E$8+'3-2.所得算出参照表'!$G$8,IF('4-1.労働時間延長メニューメイン-1'!$AD21='3-2.所得算出参照表'!$B$9,'4-1.労働時間延長メニューメイン-1'!$K21*'3-2.所得算出参照表'!$E$9+'3-2.所得算出参照表'!$G$9,IF($AD21='3-2.所得算出参照表'!$B$10,'3-2.所得算出参照表'!$G$10)))))))</f>
        <v>550000</v>
      </c>
      <c r="AF21" s="123">
        <f t="shared" si="4"/>
        <v>480000</v>
      </c>
      <c r="AG21" s="118">
        <f t="shared" si="21"/>
        <v>80000</v>
      </c>
      <c r="AH21" s="165">
        <f>VLOOKUP($AG21,'3-2.所得算出参照表'!$N$4:$O$11,2,TRUE)</f>
        <v>0.05</v>
      </c>
      <c r="AI21" s="118">
        <f>VLOOKUP($AG21,'3-2.所得算出参照表'!$P$4:$Q$11,2,TRUE)</f>
        <v>0</v>
      </c>
      <c r="AJ21" s="118">
        <f t="shared" si="22"/>
        <v>4000</v>
      </c>
      <c r="AK21" s="118">
        <f>$AJ21*'3-2.所得算出参照表'!$D$14</f>
        <v>84</v>
      </c>
      <c r="AL21" s="132">
        <f t="shared" si="23"/>
        <v>4000</v>
      </c>
      <c r="AM21" s="140">
        <f>IF($AD21="",0,IF($AD21='3-2.所得算出参照表'!$B$5,'3-2.所得算出参照表'!$E$5,IF('4-1.労働時間延長メニューメイン-1'!$AD21='3-2.所得算出参照表'!$B$6,'4-1.労働時間延長メニューメイン-1'!$K21*'3-2.所得算出参照表'!$E$6+'3-2.所得算出参照表'!$G$6,IF('4-1.労働時間延長メニューメイン-1'!$AD21='3-2.所得算出参照表'!$B$7,'4-1.労働時間延長メニューメイン-1'!$K21*'3-2.所得算出参照表'!$E$7+'3-2.所得算出参照表'!$G$7,IF('4-1.労働時間延長メニューメイン-1'!$AD21='3-2.所得算出参照表'!$B$8,'4-1.労働時間延長メニューメイン-1'!$K21*'3-2.所得算出参照表'!$E$8+'3-2.所得算出参照表'!$G$8,IF('4-1.労働時間延長メニューメイン-1'!$AD21='3-2.所得算出参照表'!$B$9,'4-1.労働時間延長メニューメイン-1'!$K21*'3-2.所得算出参照表'!$E$9+'3-2.所得算出参照表'!$G$9,IF($AD21='3-2.所得算出参照表'!$B$10,'3-2.所得算出参照表'!$G$10)))))))</f>
        <v>550000</v>
      </c>
      <c r="AN21" s="82">
        <f t="shared" si="5"/>
        <v>430000</v>
      </c>
      <c r="AO21" s="128">
        <f t="shared" si="6"/>
        <v>130000</v>
      </c>
      <c r="AP21" s="128">
        <f t="shared" si="7"/>
        <v>5500</v>
      </c>
      <c r="AQ21" s="129">
        <f t="shared" si="8"/>
        <v>0.1</v>
      </c>
      <c r="AR21" s="136">
        <f t="shared" si="24"/>
        <v>16000</v>
      </c>
      <c r="AS21" s="155">
        <f t="shared" si="9"/>
        <v>1090390.2000000002</v>
      </c>
    </row>
    <row r="22" spans="2:45" ht="21.95" customHeight="1" x14ac:dyDescent="0.15">
      <c r="B22" s="110">
        <v>8</v>
      </c>
      <c r="C22" s="612">
        <f t="shared" si="25"/>
        <v>1040</v>
      </c>
      <c r="D22" s="619">
        <f t="shared" si="10"/>
        <v>0</v>
      </c>
      <c r="E22" s="615">
        <f t="shared" si="11"/>
        <v>1040</v>
      </c>
      <c r="F22" s="614">
        <f t="shared" si="26"/>
        <v>7</v>
      </c>
      <c r="G22" s="94">
        <f t="shared" si="27"/>
        <v>27</v>
      </c>
      <c r="H22" s="211">
        <f t="shared" si="12"/>
        <v>1407.8571428571429</v>
      </c>
      <c r="I22" s="107">
        <f t="shared" si="13"/>
        <v>122014.28571428572</v>
      </c>
      <c r="J22" s="101">
        <f t="shared" si="14"/>
        <v>124014.28571428572</v>
      </c>
      <c r="K22" s="108">
        <f t="shared" si="15"/>
        <v>1488171.4285714286</v>
      </c>
      <c r="L22" s="103">
        <f t="shared" si="16"/>
        <v>126014.28571428572</v>
      </c>
      <c r="M22" s="104">
        <f>IF($D$4="",0,IF($L22=0,0,VLOOKUP($L22,'3-1.標準報酬月額・保険料表'!$N$8:$O$57,2,TRUE)))</f>
        <v>126000</v>
      </c>
      <c r="N22" s="200">
        <f t="shared" si="17"/>
        <v>0</v>
      </c>
      <c r="O22" s="104">
        <f t="shared" si="0"/>
        <v>0</v>
      </c>
      <c r="P22" s="200">
        <f t="shared" si="18"/>
        <v>122014.28571428572</v>
      </c>
      <c r="Q22" s="71">
        <f>IF($D$4="",0,IF($G22&lt;20,0,IF($Q$13="",0,IF($Q$13=2,0,IF($P22&lt;$R$13,0,IF($M22&lt;=620000,VLOOKUP($M22,'3-1.標準報酬月額・保険料表'!$D$8:$L$42,9,FALSE),'3-1.標準報酬月額・保険料表'!$L$42)+ROUNDDOWN($O22*$AA$7,0))))))</f>
        <v>0</v>
      </c>
      <c r="R22" s="60">
        <f>IF($D$4="",0,IF($G22&lt;20,0,IF($O$9="",0,IF($Q$13=2,0,IF($D$10&gt;=$S$13,0,IF($P22&lt;$R$13,0,VLOOKUP($M22,'3-1.標準報酬月額・保険料表'!$D$8:$J$57,6,FALSE)+ROUNDDOWN($O22*$X$7,0)))))))</f>
        <v>0</v>
      </c>
      <c r="S22" s="60">
        <f>IF($D$4="",0,IF($G22&lt;20,0,IF($Q$13="",0,IF($Q$13=2,0,IF($D$10&lt;$S$13,0,IF($P22&lt;$R$13,0,VLOOKUP($M22,'3-1.標準報酬月額・保険料表'!$D$8:$J$57,7,FALSE)+ROUNDDOWN($O22*$Y$7,0)))))))</f>
        <v>0</v>
      </c>
      <c r="T22" s="76">
        <f t="shared" si="19"/>
        <v>0</v>
      </c>
      <c r="U22" s="81">
        <f>IF($D$4="",0,IF($U$13="",0,IF($U$13=1,0,IF($G22&lt;$W$13,0,IF($K22&lt;$V$13,0,IF($M22&lt;=620000,VLOOKUP($M22,'3-1.標準報酬月額・保険料表'!$D$8:$L$42,9,FALSE),'3-1.標準報酬月額・保険料表'!$L$42)+ROUNDDOWN($O22*$AA$7,0))))))</f>
        <v>0</v>
      </c>
      <c r="V22" s="82">
        <f>IF($D$4="",0,IF($U$13="",0,IF($U$13=1,0,IF($G22&lt;$W$13,0,IF($K22&lt;$V$13,0,IF($D$10&gt;=$X$13,0,VLOOKUP($M22,'3-1.標準報酬月額・保険料表'!$D$8:$J$57,6,FALSE)+ROUNDDOWN($O22*$X$7,0)))))))</f>
        <v>0</v>
      </c>
      <c r="W22" s="82">
        <f>IF($D$4="",0,IF($U$13="",0,IF($U$13=1,0,IF($G22&lt;$W$13,0,IF($K22&lt;$V$13,0,IF($D$10&lt;$X$13,0,VLOOKUP($M22,'3-1.標準報酬月額・保険料表'!$D$8:$J$57,7,FALSE)+ROUNDDOWN($O22*$Y$7,0)))))))</f>
        <v>0</v>
      </c>
      <c r="X22" s="83">
        <f t="shared" si="20"/>
        <v>0</v>
      </c>
      <c r="Y22" s="144">
        <f t="shared" si="1"/>
        <v>198240</v>
      </c>
      <c r="Z22" s="144">
        <f>IF($D$4="",0,IF($U$13="",0,IF($U$13=1,0,IF(AND($K22&gt;=$V$13,$G22&lt;$W$13),'3-3.国民健康保険料簡易計算'!$Q17,0))))</f>
        <v>122349</v>
      </c>
      <c r="AA22" s="144">
        <f t="shared" si="28"/>
        <v>320589</v>
      </c>
      <c r="AB22" s="73">
        <f t="shared" si="2"/>
        <v>8929.0285714285728</v>
      </c>
      <c r="AC22" s="78">
        <f t="shared" si="3"/>
        <v>329518.02857142856</v>
      </c>
      <c r="AD22" s="162">
        <f>IF($D$4="","",VLOOKUP($K22,'3-2.所得算出参照表'!K$5:L$10,2,TRUE))</f>
        <v>1625000</v>
      </c>
      <c r="AE22" s="163">
        <f>IF($AD22="",0,IF($AD22='3-2.所得算出参照表'!$B$5,'3-2.所得算出参照表'!$E$5,IF('4-1.労働時間延長メニューメイン-1'!$AD22='3-2.所得算出参照表'!$B$6,'4-1.労働時間延長メニューメイン-1'!$K22*'3-2.所得算出参照表'!$E$6+'3-2.所得算出参照表'!$G$6,IF('4-1.労働時間延長メニューメイン-1'!$AD22='3-2.所得算出参照表'!$B$7,'4-1.労働時間延長メニューメイン-1'!$K22*'3-2.所得算出参照表'!$E$7+'3-2.所得算出参照表'!$G$7,IF('4-1.労働時間延長メニューメイン-1'!$AD22='3-2.所得算出参照表'!$B$8,'4-1.労働時間延長メニューメイン-1'!$K22*'3-2.所得算出参照表'!$E$8+'3-2.所得算出参照表'!$G$8,IF('4-1.労働時間延長メニューメイン-1'!$AD22='3-2.所得算出参照表'!$B$9,'4-1.労働時間延長メニューメイン-1'!$K22*'3-2.所得算出参照表'!$E$9+'3-2.所得算出参照表'!$G$9,IF($AD22='3-2.所得算出参照表'!$B$10,'3-2.所得算出参照表'!$G$10)))))))</f>
        <v>550000</v>
      </c>
      <c r="AF22" s="123">
        <f t="shared" si="4"/>
        <v>480000</v>
      </c>
      <c r="AG22" s="118">
        <f t="shared" si="21"/>
        <v>128000</v>
      </c>
      <c r="AH22" s="165">
        <f>VLOOKUP($AG22,'3-2.所得算出参照表'!$N$4:$O$11,2,TRUE)</f>
        <v>0.05</v>
      </c>
      <c r="AI22" s="118">
        <f>VLOOKUP($AG22,'3-2.所得算出参照表'!$P$4:$Q$11,2,TRUE)</f>
        <v>0</v>
      </c>
      <c r="AJ22" s="118">
        <f>$AG22*AH22-$AI22</f>
        <v>6400</v>
      </c>
      <c r="AK22" s="118">
        <f>$AJ22*'3-2.所得算出参照表'!$D$14</f>
        <v>134.4</v>
      </c>
      <c r="AL22" s="132">
        <f>ROUNDDOWN($AJ22+$AK22,-2)</f>
        <v>6500</v>
      </c>
      <c r="AM22" s="140">
        <f>IF($AD22="",0,IF($AD22='3-2.所得算出参照表'!$B$5,'3-2.所得算出参照表'!$E$5,IF('4-1.労働時間延長メニューメイン-1'!$AD22='3-2.所得算出参照表'!$B$6,'4-1.労働時間延長メニューメイン-1'!$K22*'3-2.所得算出参照表'!$E$6+'3-2.所得算出参照表'!$G$6,IF('4-1.労働時間延長メニューメイン-1'!$AD22='3-2.所得算出参照表'!$B$7,'4-1.労働時間延長メニューメイン-1'!$K22*'3-2.所得算出参照表'!$E$7+'3-2.所得算出参照表'!$G$7,IF('4-1.労働時間延長メニューメイン-1'!$AD22='3-2.所得算出参照表'!$B$8,'4-1.労働時間延長メニューメイン-1'!$K22*'3-2.所得算出参照表'!$E$8+'3-2.所得算出参照表'!$G$8,IF('4-1.労働時間延長メニューメイン-1'!$AD22='3-2.所得算出参照表'!$B$9,'4-1.労働時間延長メニューメイン-1'!$K22*'3-2.所得算出参照表'!$E$9+'3-2.所得算出参照表'!$G$9,IF($AD22='3-2.所得算出参照表'!$B$10,'3-2.所得算出参照表'!$G$10)))))))</f>
        <v>550000</v>
      </c>
      <c r="AN22" s="82">
        <f t="shared" si="5"/>
        <v>430000</v>
      </c>
      <c r="AO22" s="128">
        <f t="shared" si="6"/>
        <v>178000</v>
      </c>
      <c r="AP22" s="128">
        <f t="shared" si="7"/>
        <v>5500</v>
      </c>
      <c r="AQ22" s="129">
        <f t="shared" si="8"/>
        <v>0.1</v>
      </c>
      <c r="AR22" s="136">
        <f t="shared" si="24"/>
        <v>20800</v>
      </c>
      <c r="AS22" s="155">
        <f t="shared" si="9"/>
        <v>1131353.4000000001</v>
      </c>
    </row>
    <row r="23" spans="2:45" ht="21.95" customHeight="1" x14ac:dyDescent="0.15">
      <c r="B23" s="111">
        <v>9</v>
      </c>
      <c r="C23" s="612">
        <f t="shared" si="25"/>
        <v>1040</v>
      </c>
      <c r="D23" s="619">
        <f t="shared" si="10"/>
        <v>0</v>
      </c>
      <c r="E23" s="615">
        <f t="shared" si="11"/>
        <v>1040</v>
      </c>
      <c r="F23" s="614">
        <f t="shared" si="26"/>
        <v>8</v>
      </c>
      <c r="G23" s="94">
        <f t="shared" si="27"/>
        <v>28</v>
      </c>
      <c r="H23" s="211">
        <f t="shared" si="12"/>
        <v>1460</v>
      </c>
      <c r="I23" s="107">
        <f t="shared" si="13"/>
        <v>126533.33333333333</v>
      </c>
      <c r="J23" s="101">
        <f t="shared" si="14"/>
        <v>128533.33333333333</v>
      </c>
      <c r="K23" s="108">
        <f t="shared" si="15"/>
        <v>1542400</v>
      </c>
      <c r="L23" s="103">
        <f t="shared" si="16"/>
        <v>130533.33333333333</v>
      </c>
      <c r="M23" s="104">
        <f>IF($D$4="",0,IF($L23=0,0,VLOOKUP($L23,'3-1.標準報酬月額・保険料表'!$N$8:$O$57,2,TRUE)))</f>
        <v>134000</v>
      </c>
      <c r="N23" s="200">
        <f t="shared" si="17"/>
        <v>0</v>
      </c>
      <c r="O23" s="104">
        <f t="shared" si="0"/>
        <v>0</v>
      </c>
      <c r="P23" s="200">
        <f t="shared" si="18"/>
        <v>126533.33333333333</v>
      </c>
      <c r="Q23" s="71">
        <f>IF($D$4="",0,IF($G23&lt;20,0,IF($Q$13="",0,IF($Q$13=2,0,IF($P23&lt;$R$13,0,IF($M23&lt;=620000,VLOOKUP($M23,'3-1.標準報酬月額・保険料表'!$D$8:$L$42,9,FALSE),'3-1.標準報酬月額・保険料表'!$L$42)+ROUNDDOWN($O23*$AA$7,0))))))</f>
        <v>0</v>
      </c>
      <c r="R23" s="60">
        <f>IF($D$4="",0,IF($G23&lt;20,0,IF($O$9="",0,IF($Q$13=2,0,IF($D$10&gt;=$S$13,0,IF($P23&lt;$R$13,0,VLOOKUP($M23,'3-1.標準報酬月額・保険料表'!$D$8:$J$57,6,FALSE)+ROUNDDOWN($O23*$X$7,0)))))))</f>
        <v>0</v>
      </c>
      <c r="S23" s="60">
        <f>IF($D$4="",0,IF($G23&lt;20,0,IF($Q$13="",0,IF($Q$13=2,0,IF($D$10&lt;$S$13,0,IF($P23&lt;$R$13,0,VLOOKUP($M23,'3-1.標準報酬月額・保険料表'!$D$8:$J$57,7,FALSE)+ROUNDDOWN($O23*$Y$7,0)))))))</f>
        <v>0</v>
      </c>
      <c r="T23" s="76">
        <f t="shared" si="19"/>
        <v>0</v>
      </c>
      <c r="U23" s="81">
        <f>IF($D$4="",0,IF($U$13="",0,IF($U$13=1,0,IF($G23&lt;$W$13,0,IF($K23&lt;$V$13,0,IF($M23&lt;=620000,VLOOKUP($M23,'3-1.標準報酬月額・保険料表'!$D$8:$L$42,9,FALSE),'3-1.標準報酬月額・保険料表'!$L$42)+ROUNDDOWN($O23*$AA$7,0))))))</f>
        <v>0</v>
      </c>
      <c r="V23" s="82">
        <f>IF($D$4="",0,IF($U$13="",0,IF($U$13=1,0,IF($G23&lt;$W$13,0,IF($K23&lt;$V$13,0,IF($D$10&gt;=$X$13,0,VLOOKUP($M23,'3-1.標準報酬月額・保険料表'!$D$8:$J$57,6,FALSE)+ROUNDDOWN($O23*$X$7,0)))))))</f>
        <v>0</v>
      </c>
      <c r="W23" s="82">
        <f>IF($D$4="",0,IF($U$13="",0,IF($U$13=1,0,IF($G23&lt;$W$13,0,IF($K23&lt;$V$13,0,IF($D$10&lt;$X$13,0,VLOOKUP($M23,'3-1.標準報酬月額・保険料表'!$D$8:$J$57,7,FALSE)+ROUNDDOWN($O23*$Y$7,0)))))))</f>
        <v>0</v>
      </c>
      <c r="X23" s="83">
        <f t="shared" si="20"/>
        <v>0</v>
      </c>
      <c r="Y23" s="144">
        <f t="shared" si="1"/>
        <v>198240</v>
      </c>
      <c r="Z23" s="144">
        <f>IF($D$4="",0,IF($U$13="",0,IF($U$13=1,0,IF(AND($K23&gt;=$V$13,$G23&lt;$W$13),'3-3.国民健康保険料簡易計算'!$Q18,0))))</f>
        <v>127989</v>
      </c>
      <c r="AA23" s="144">
        <f t="shared" si="28"/>
        <v>326229</v>
      </c>
      <c r="AB23" s="73">
        <f t="shared" si="2"/>
        <v>9254.4</v>
      </c>
      <c r="AC23" s="78">
        <f t="shared" si="3"/>
        <v>335483.40000000002</v>
      </c>
      <c r="AD23" s="162">
        <f>IF($D$4="","",VLOOKUP($K23,'3-2.所得算出参照表'!K$5:L$10,2,TRUE))</f>
        <v>1625000</v>
      </c>
      <c r="AE23" s="163">
        <f>IF($AD23="",0,IF($AD23='3-2.所得算出参照表'!$B$5,'3-2.所得算出参照表'!$E$5,IF('4-1.労働時間延長メニューメイン-1'!$AD23='3-2.所得算出参照表'!$B$6,'4-1.労働時間延長メニューメイン-1'!$K23*'3-2.所得算出参照表'!$E$6+'3-2.所得算出参照表'!$G$6,IF('4-1.労働時間延長メニューメイン-1'!$AD23='3-2.所得算出参照表'!$B$7,'4-1.労働時間延長メニューメイン-1'!$K23*'3-2.所得算出参照表'!$E$7+'3-2.所得算出参照表'!$G$7,IF('4-1.労働時間延長メニューメイン-1'!$AD23='3-2.所得算出参照表'!$B$8,'4-1.労働時間延長メニューメイン-1'!$K23*'3-2.所得算出参照表'!$E$8+'3-2.所得算出参照表'!$G$8,IF('4-1.労働時間延長メニューメイン-1'!$AD23='3-2.所得算出参照表'!$B$9,'4-1.労働時間延長メニューメイン-1'!$K23*'3-2.所得算出参照表'!$E$9+'3-2.所得算出参照表'!$G$9,IF($AD23='3-2.所得算出参照表'!$B$10,'3-2.所得算出参照表'!$G$10)))))))</f>
        <v>550000</v>
      </c>
      <c r="AF23" s="123">
        <f t="shared" si="4"/>
        <v>480000</v>
      </c>
      <c r="AG23" s="118">
        <f t="shared" si="21"/>
        <v>176000</v>
      </c>
      <c r="AH23" s="165">
        <f>VLOOKUP($AG23,'3-2.所得算出参照表'!$N$4:$O$11,2,TRUE)</f>
        <v>0.05</v>
      </c>
      <c r="AI23" s="118">
        <f>VLOOKUP($AG23,'3-2.所得算出参照表'!$P$4:$Q$11,2,TRUE)</f>
        <v>0</v>
      </c>
      <c r="AJ23" s="118">
        <f t="shared" ref="AJ23:AJ44" si="29">$AG23*AH23-$AI23</f>
        <v>8800</v>
      </c>
      <c r="AK23" s="118">
        <f>$AJ23*'3-2.所得算出参照表'!$D$14</f>
        <v>184.8</v>
      </c>
      <c r="AL23" s="132">
        <f t="shared" ref="AL23:AL44" si="30">ROUNDDOWN($AJ23+$AK23,-2)</f>
        <v>8900</v>
      </c>
      <c r="AM23" s="140">
        <f>IF($AD23="",0,IF($AD23='3-2.所得算出参照表'!$B$5,'3-2.所得算出参照表'!$E$5,IF('4-1.労働時間延長メニューメイン-1'!$AD23='3-2.所得算出参照表'!$B$6,'4-1.労働時間延長メニューメイン-1'!$K23*'3-2.所得算出参照表'!$E$6+'3-2.所得算出参照表'!$G$6,IF('4-1.労働時間延長メニューメイン-1'!$AD23='3-2.所得算出参照表'!$B$7,'4-1.労働時間延長メニューメイン-1'!$K23*'3-2.所得算出参照表'!$E$7+'3-2.所得算出参照表'!$G$7,IF('4-1.労働時間延長メニューメイン-1'!$AD23='3-2.所得算出参照表'!$B$8,'4-1.労働時間延長メニューメイン-1'!$K23*'3-2.所得算出参照表'!$E$8+'3-2.所得算出参照表'!$G$8,IF('4-1.労働時間延長メニューメイン-1'!$AD23='3-2.所得算出参照表'!$B$9,'4-1.労働時間延長メニューメイン-1'!$K23*'3-2.所得算出参照表'!$E$9+'3-2.所得算出参照表'!$G$9,IF($AD23='3-2.所得算出参照表'!$B$10,'3-2.所得算出参照表'!$G$10)))))))</f>
        <v>550000</v>
      </c>
      <c r="AN23" s="82">
        <f t="shared" si="5"/>
        <v>430000</v>
      </c>
      <c r="AO23" s="128">
        <f t="shared" si="6"/>
        <v>226000</v>
      </c>
      <c r="AP23" s="128">
        <f t="shared" si="7"/>
        <v>5500</v>
      </c>
      <c r="AQ23" s="129">
        <f t="shared" si="8"/>
        <v>0.1</v>
      </c>
      <c r="AR23" s="136">
        <f t="shared" si="24"/>
        <v>25600</v>
      </c>
      <c r="AS23" s="155">
        <f t="shared" si="9"/>
        <v>1172416.6000000001</v>
      </c>
    </row>
    <row r="24" spans="2:45" ht="21.95" customHeight="1" x14ac:dyDescent="0.15">
      <c r="B24" s="111">
        <v>10</v>
      </c>
      <c r="C24" s="612">
        <f t="shared" si="25"/>
        <v>1040</v>
      </c>
      <c r="D24" s="619">
        <f t="shared" si="10"/>
        <v>0</v>
      </c>
      <c r="E24" s="615">
        <f t="shared" si="11"/>
        <v>1040</v>
      </c>
      <c r="F24" s="614">
        <f t="shared" si="26"/>
        <v>9</v>
      </c>
      <c r="G24" s="94">
        <f t="shared" si="27"/>
        <v>29</v>
      </c>
      <c r="H24" s="211">
        <f t="shared" si="12"/>
        <v>1512.1428571428571</v>
      </c>
      <c r="I24" s="107">
        <f t="shared" si="13"/>
        <v>131052.38095238095</v>
      </c>
      <c r="J24" s="101">
        <f t="shared" si="14"/>
        <v>133052.38095238095</v>
      </c>
      <c r="K24" s="108">
        <f t="shared" si="15"/>
        <v>1596628.5714285714</v>
      </c>
      <c r="L24" s="103">
        <f t="shared" si="16"/>
        <v>135052.38095238095</v>
      </c>
      <c r="M24" s="104">
        <f>IF($D$4="",0,IF($L24=0,0,VLOOKUP($L24,'3-1.標準報酬月額・保険料表'!$N$8:$O$57,2,TRUE)))</f>
        <v>134000</v>
      </c>
      <c r="N24" s="200">
        <f t="shared" si="17"/>
        <v>0</v>
      </c>
      <c r="O24" s="104">
        <f t="shared" si="0"/>
        <v>0</v>
      </c>
      <c r="P24" s="200">
        <f t="shared" si="18"/>
        <v>131052.38095238095</v>
      </c>
      <c r="Q24" s="71">
        <f>IF($D$4="",0,IF($G24&lt;20,0,IF($Q$13="",0,IF($Q$13=2,0,IF($P24&lt;$R$13,0,IF($M24&lt;=620000,VLOOKUP($M24,'3-1.標準報酬月額・保険料表'!$D$8:$L$42,9,FALSE),'3-1.標準報酬月額・保険料表'!$L$42)+ROUNDDOWN($O24*$AA$7,0))))))</f>
        <v>0</v>
      </c>
      <c r="R24" s="60">
        <f>IF($D$4="",0,IF($G24&lt;20,0,IF($O$9="",0,IF($Q$13=2,0,IF($D$10&gt;=$S$13,0,IF($P24&lt;$R$13,0,VLOOKUP($M24,'3-1.標準報酬月額・保険料表'!$D$8:$J$57,6,FALSE)+ROUNDDOWN($O24*$X$7,0)))))))</f>
        <v>0</v>
      </c>
      <c r="S24" s="60">
        <f>IF($D$4="",0,IF($G24&lt;20,0,IF($Q$13="",0,IF($Q$13=2,0,IF($D$10&lt;$S$13,0,IF($P24&lt;$R$13,0,VLOOKUP($M24,'3-1.標準報酬月額・保険料表'!$D$8:$J$57,7,FALSE)+ROUNDDOWN($O24*$Y$7,0)))))))</f>
        <v>0</v>
      </c>
      <c r="T24" s="76">
        <f t="shared" si="19"/>
        <v>0</v>
      </c>
      <c r="U24" s="81">
        <f>IF($D$4="",0,IF($U$13="",0,IF($U$13=1,0,IF($G24&lt;$W$13,0,IF($K24&lt;$V$13,0,IF($M24&lt;=620000,VLOOKUP($M24,'3-1.標準報酬月額・保険料表'!$D$8:$L$42,9,FALSE),'3-1.標準報酬月額・保険料表'!$L$42)+ROUNDDOWN($O24*$AA$7,0))))))</f>
        <v>0</v>
      </c>
      <c r="V24" s="82">
        <f>IF($D$4="",0,IF($U$13="",0,IF($U$13=1,0,IF($G24&lt;$W$13,0,IF($K24&lt;$V$13,0,IF($D$10&gt;=$X$13,0,VLOOKUP($M24,'3-1.標準報酬月額・保険料表'!$D$8:$J$57,6,FALSE)+ROUNDDOWN($O24*$X$7,0)))))))</f>
        <v>0</v>
      </c>
      <c r="W24" s="82">
        <f>IF($D$4="",0,IF($U$13="",0,IF($U$13=1,0,IF($G24&lt;$W$13,0,IF($K24&lt;$V$13,0,IF($D$10&lt;$X$13,0,VLOOKUP($M24,'3-1.標準報酬月額・保険料表'!$D$8:$J$57,7,FALSE)+ROUNDDOWN($O24*$Y$7,0)))))))</f>
        <v>0</v>
      </c>
      <c r="X24" s="83">
        <f t="shared" si="20"/>
        <v>0</v>
      </c>
      <c r="Y24" s="144">
        <f t="shared" si="1"/>
        <v>198240</v>
      </c>
      <c r="Z24" s="144">
        <f>IF($D$4="",0,IF($U$13="",0,IF($U$13=1,0,IF(AND($K24&gt;=$V$13,$G24&lt;$W$13),'3-3.国民健康保険料簡易計算'!$Q19,0))))</f>
        <v>133628</v>
      </c>
      <c r="AA24" s="144">
        <f t="shared" si="28"/>
        <v>331868</v>
      </c>
      <c r="AB24" s="73">
        <f t="shared" si="2"/>
        <v>9579.7714285714283</v>
      </c>
      <c r="AC24" s="78">
        <f t="shared" si="3"/>
        <v>341447.77142857143</v>
      </c>
      <c r="AD24" s="162">
        <f>IF($D$4="","",VLOOKUP($K24,'3-2.所得算出参照表'!K$5:L$10,2,TRUE))</f>
        <v>1625000</v>
      </c>
      <c r="AE24" s="163">
        <f>IF($AD24="",0,IF($AD24='3-2.所得算出参照表'!$B$5,'3-2.所得算出参照表'!$E$5,IF('4-1.労働時間延長メニューメイン-1'!$AD24='3-2.所得算出参照表'!$B$6,'4-1.労働時間延長メニューメイン-1'!$K24*'3-2.所得算出参照表'!$E$6+'3-2.所得算出参照表'!$G$6,IF('4-1.労働時間延長メニューメイン-1'!$AD24='3-2.所得算出参照表'!$B$7,'4-1.労働時間延長メニューメイン-1'!$K24*'3-2.所得算出参照表'!$E$7+'3-2.所得算出参照表'!$G$7,IF('4-1.労働時間延長メニューメイン-1'!$AD24='3-2.所得算出参照表'!$B$8,'4-1.労働時間延長メニューメイン-1'!$K24*'3-2.所得算出参照表'!$E$8+'3-2.所得算出参照表'!$G$8,IF('4-1.労働時間延長メニューメイン-1'!$AD24='3-2.所得算出参照表'!$B$9,'4-1.労働時間延長メニューメイン-1'!$K24*'3-2.所得算出参照表'!$E$9+'3-2.所得算出参照表'!$G$9,IF($AD24='3-2.所得算出参照表'!$B$10,'3-2.所得算出参照表'!$G$10)))))))</f>
        <v>550000</v>
      </c>
      <c r="AF24" s="123">
        <f t="shared" si="4"/>
        <v>480000</v>
      </c>
      <c r="AG24" s="118">
        <f t="shared" si="21"/>
        <v>225000</v>
      </c>
      <c r="AH24" s="165">
        <f>VLOOKUP($AG24,'3-2.所得算出参照表'!$N$4:$O$11,2,TRUE)</f>
        <v>0.05</v>
      </c>
      <c r="AI24" s="118">
        <f>VLOOKUP($AG24,'3-2.所得算出参照表'!$P$4:$Q$11,2,TRUE)</f>
        <v>0</v>
      </c>
      <c r="AJ24" s="118">
        <f t="shared" si="29"/>
        <v>11250</v>
      </c>
      <c r="AK24" s="118">
        <f>$AJ24*'3-2.所得算出参照表'!$D$14</f>
        <v>236.25000000000003</v>
      </c>
      <c r="AL24" s="132">
        <f t="shared" si="30"/>
        <v>11400</v>
      </c>
      <c r="AM24" s="140">
        <f>IF($AD24="",0,IF($AD24='3-2.所得算出参照表'!$B$5,'3-2.所得算出参照表'!$E$5,IF('4-1.労働時間延長メニューメイン-1'!$AD24='3-2.所得算出参照表'!$B$6,'4-1.労働時間延長メニューメイン-1'!$K24*'3-2.所得算出参照表'!$E$6+'3-2.所得算出参照表'!$G$6,IF('4-1.労働時間延長メニューメイン-1'!$AD24='3-2.所得算出参照表'!$B$7,'4-1.労働時間延長メニューメイン-1'!$K24*'3-2.所得算出参照表'!$E$7+'3-2.所得算出参照表'!$G$7,IF('4-1.労働時間延長メニューメイン-1'!$AD24='3-2.所得算出参照表'!$B$8,'4-1.労働時間延長メニューメイン-1'!$K24*'3-2.所得算出参照表'!$E$8+'3-2.所得算出参照表'!$G$8,IF('4-1.労働時間延長メニューメイン-1'!$AD24='3-2.所得算出参照表'!$B$9,'4-1.労働時間延長メニューメイン-1'!$K24*'3-2.所得算出参照表'!$E$9+'3-2.所得算出参照表'!$G$9,IF($AD24='3-2.所得算出参照表'!$B$10,'3-2.所得算出参照表'!$G$10)))))))</f>
        <v>550000</v>
      </c>
      <c r="AN24" s="82">
        <f t="shared" si="5"/>
        <v>430000</v>
      </c>
      <c r="AO24" s="128">
        <f t="shared" si="6"/>
        <v>275000</v>
      </c>
      <c r="AP24" s="128">
        <f t="shared" si="7"/>
        <v>5500</v>
      </c>
      <c r="AQ24" s="129">
        <f t="shared" si="8"/>
        <v>0.1</v>
      </c>
      <c r="AR24" s="136">
        <f t="shared" si="24"/>
        <v>30500</v>
      </c>
      <c r="AS24" s="155">
        <f t="shared" si="9"/>
        <v>1213280.7999999998</v>
      </c>
    </row>
    <row r="25" spans="2:45" ht="21.95" customHeight="1" x14ac:dyDescent="0.15">
      <c r="B25" s="111">
        <v>11</v>
      </c>
      <c r="C25" s="612">
        <f t="shared" si="25"/>
        <v>1040</v>
      </c>
      <c r="D25" s="619">
        <f t="shared" si="10"/>
        <v>0</v>
      </c>
      <c r="E25" s="615">
        <f t="shared" si="11"/>
        <v>1040</v>
      </c>
      <c r="F25" s="614">
        <f t="shared" si="26"/>
        <v>10</v>
      </c>
      <c r="G25" s="94">
        <f t="shared" si="27"/>
        <v>30</v>
      </c>
      <c r="H25" s="211">
        <f t="shared" si="12"/>
        <v>1564.2857142857142</v>
      </c>
      <c r="I25" s="107">
        <f t="shared" si="13"/>
        <v>135571.42857142855</v>
      </c>
      <c r="J25" s="101">
        <f t="shared" si="14"/>
        <v>137571.42857142855</v>
      </c>
      <c r="K25" s="108">
        <f t="shared" si="15"/>
        <v>1650857.1428571427</v>
      </c>
      <c r="L25" s="103">
        <f t="shared" si="16"/>
        <v>139571.42857142855</v>
      </c>
      <c r="M25" s="104">
        <f>IF($D$4="",0,IF($L25=0,0,VLOOKUP($L25,'3-1.標準報酬月額・保険料表'!$N$8:$O$57,2,TRUE)))</f>
        <v>142000</v>
      </c>
      <c r="N25" s="200">
        <f t="shared" si="17"/>
        <v>0</v>
      </c>
      <c r="O25" s="104">
        <f t="shared" si="0"/>
        <v>0</v>
      </c>
      <c r="P25" s="200">
        <f t="shared" si="18"/>
        <v>135571.42857142855</v>
      </c>
      <c r="Q25" s="71">
        <f>IF($D$4="",0,IF($G25&lt;20,0,IF($Q$13="",0,IF($Q$13=2,0,IF($P25&lt;$R$13,0,IF($M25&lt;=620000,VLOOKUP($M25,'3-1.標準報酬月額・保険料表'!$D$8:$L$42,9,FALSE),'3-1.標準報酬月額・保険料表'!$L$42)+ROUNDDOWN($O25*$AA$7,0))))))</f>
        <v>0</v>
      </c>
      <c r="R25" s="60">
        <f>IF($D$4="",0,IF($G25&lt;20,0,IF($O$9="",0,IF($Q$13=2,0,IF($D$10&gt;=$S$13,0,IF($P25&lt;$R$13,0,VLOOKUP($M25,'3-1.標準報酬月額・保険料表'!$D$8:$J$57,6,FALSE)+ROUNDDOWN($O25*$X$7,0)))))))</f>
        <v>0</v>
      </c>
      <c r="S25" s="60">
        <f>IF($D$4="",0,IF($G25&lt;20,0,IF($Q$13="",0,IF($Q$13=2,0,IF($D$10&lt;$S$13,0,IF($P25&lt;$R$13,0,VLOOKUP($M25,'3-1.標準報酬月額・保険料表'!$D$8:$J$57,7,FALSE)+ROUNDDOWN($O25*$Y$7,0)))))))</f>
        <v>0</v>
      </c>
      <c r="T25" s="76">
        <f t="shared" si="19"/>
        <v>0</v>
      </c>
      <c r="U25" s="81">
        <f>IF($D$4="",0,IF($U$13="",0,IF($U$13=1,0,IF($G25&lt;$W$13,0,IF($K25&lt;$V$13,0,IF($M25&lt;=620000,VLOOKUP($M25,'3-1.標準報酬月額・保険料表'!$D$8:$L$42,9,FALSE),'3-1.標準報酬月額・保険料表'!$L$42)+ROUNDDOWN($O25*$AA$7,0))))))</f>
        <v>12993</v>
      </c>
      <c r="V25" s="82">
        <f>IF($D$4="",0,IF($U$13="",0,IF($U$13=1,0,IF($G25&lt;$W$13,0,IF($K25&lt;$V$13,0,IF($D$10&gt;=$X$13,0,VLOOKUP($M25,'3-1.標準報酬月額・保険料表'!$D$8:$J$57,6,FALSE)+ROUNDDOWN($O25*$X$7,0)))))))</f>
        <v>7305.9000000000005</v>
      </c>
      <c r="W25" s="82">
        <f>IF($D$4="",0,IF($U$13="",0,IF($U$13=1,0,IF($G25&lt;$W$13,0,IF($K25&lt;$V$13,0,IF($D$10&lt;$X$13,0,VLOOKUP($M25,'3-1.標準報酬月額・保険料表'!$D$8:$J$57,7,FALSE)+ROUNDDOWN($O25*$Y$7,0)))))))</f>
        <v>0</v>
      </c>
      <c r="X25" s="83">
        <f t="shared" si="20"/>
        <v>20298.900000000001</v>
      </c>
      <c r="Y25" s="144">
        <f t="shared" si="1"/>
        <v>0</v>
      </c>
      <c r="Z25" s="144">
        <f>IF($D$4="",0,IF($U$13="",0,IF($U$13=1,0,IF(AND($K25&gt;=$V$13,$G25&lt;$W$13),'3-3.国民健康保険料簡易計算'!$Q20,0))))</f>
        <v>0</v>
      </c>
      <c r="AA25" s="144">
        <f t="shared" si="28"/>
        <v>0</v>
      </c>
      <c r="AB25" s="73">
        <f t="shared" si="2"/>
        <v>9905.1428571428569</v>
      </c>
      <c r="AC25" s="78">
        <f t="shared" si="3"/>
        <v>253491.94285714289</v>
      </c>
      <c r="AD25" s="162">
        <f>IF($D$4="","",VLOOKUP($K25,'3-2.所得算出参照表'!K$5:L$10,2,TRUE))</f>
        <v>1800000</v>
      </c>
      <c r="AE25" s="163">
        <f>IF($AD25="",0,IF($AD25='3-2.所得算出参照表'!$B$5,'3-2.所得算出参照表'!$E$5,IF('4-1.労働時間延長メニューメイン-1'!$AD25='3-2.所得算出参照表'!$B$6,'4-1.労働時間延長メニューメイン-1'!$K25*'3-2.所得算出参照表'!$E$6+'3-2.所得算出参照表'!$G$6,IF('4-1.労働時間延長メニューメイン-1'!$AD25='3-2.所得算出参照表'!$B$7,'4-1.労働時間延長メニューメイン-1'!$K25*'3-2.所得算出参照表'!$E$7+'3-2.所得算出参照表'!$G$7,IF('4-1.労働時間延長メニューメイン-1'!$AD25='3-2.所得算出参照表'!$B$8,'4-1.労働時間延長メニューメイン-1'!$K25*'3-2.所得算出参照表'!$E$8+'3-2.所得算出参照表'!$G$8,IF('4-1.労働時間延長メニューメイン-1'!$AD25='3-2.所得算出参照表'!$B$9,'4-1.労働時間延長メニューメイン-1'!$K25*'3-2.所得算出参照表'!$E$9+'3-2.所得算出参照表'!$G$9,IF($AD25='3-2.所得算出参照表'!$B$10,'3-2.所得算出参照表'!$G$10)))))))</f>
        <v>560342.85714285716</v>
      </c>
      <c r="AF25" s="123">
        <f t="shared" si="4"/>
        <v>480000</v>
      </c>
      <c r="AG25" s="118">
        <f t="shared" si="21"/>
        <v>357000</v>
      </c>
      <c r="AH25" s="165">
        <f>VLOOKUP($AG25,'3-2.所得算出参照表'!$N$4:$O$11,2,TRUE)</f>
        <v>0.05</v>
      </c>
      <c r="AI25" s="118">
        <f>VLOOKUP($AG25,'3-2.所得算出参照表'!$P$4:$Q$11,2,TRUE)</f>
        <v>0</v>
      </c>
      <c r="AJ25" s="118">
        <f t="shared" si="29"/>
        <v>17850</v>
      </c>
      <c r="AK25" s="118">
        <f>$AJ25*'3-2.所得算出参照表'!$D$14</f>
        <v>374.85</v>
      </c>
      <c r="AL25" s="132">
        <f t="shared" si="30"/>
        <v>18200</v>
      </c>
      <c r="AM25" s="140">
        <f>IF($AD25="",0,IF($AD25='3-2.所得算出参照表'!$B$5,'3-2.所得算出参照表'!$E$5,IF('4-1.労働時間延長メニューメイン-1'!$AD25='3-2.所得算出参照表'!$B$6,'4-1.労働時間延長メニューメイン-1'!$K25*'3-2.所得算出参照表'!$E$6+'3-2.所得算出参照表'!$G$6,IF('4-1.労働時間延長メニューメイン-1'!$AD25='3-2.所得算出参照表'!$B$7,'4-1.労働時間延長メニューメイン-1'!$K25*'3-2.所得算出参照表'!$E$7+'3-2.所得算出参照表'!$G$7,IF('4-1.労働時間延長メニューメイン-1'!$AD25='3-2.所得算出参照表'!$B$8,'4-1.労働時間延長メニューメイン-1'!$K25*'3-2.所得算出参照表'!$E$8+'3-2.所得算出参照表'!$G$8,IF('4-1.労働時間延長メニューメイン-1'!$AD25='3-2.所得算出参照表'!$B$9,'4-1.労働時間延長メニューメイン-1'!$K25*'3-2.所得算出参照表'!$E$9+'3-2.所得算出参照表'!$G$9,IF($AD25='3-2.所得算出参照表'!$B$10,'3-2.所得算出参照表'!$G$10)))))))</f>
        <v>560342.85714285716</v>
      </c>
      <c r="AN25" s="82">
        <f t="shared" si="5"/>
        <v>430000</v>
      </c>
      <c r="AO25" s="128">
        <f t="shared" si="6"/>
        <v>407000</v>
      </c>
      <c r="AP25" s="128">
        <f t="shared" si="7"/>
        <v>5500</v>
      </c>
      <c r="AQ25" s="129">
        <f t="shared" si="8"/>
        <v>0.1</v>
      </c>
      <c r="AR25" s="136">
        <f t="shared" si="24"/>
        <v>43700</v>
      </c>
      <c r="AS25" s="155">
        <f t="shared" si="9"/>
        <v>1335465.1999999997</v>
      </c>
    </row>
    <row r="26" spans="2:45" ht="21.95" customHeight="1" x14ac:dyDescent="0.15">
      <c r="B26" s="110">
        <v>12</v>
      </c>
      <c r="C26" s="612">
        <f t="shared" si="25"/>
        <v>1040</v>
      </c>
      <c r="D26" s="619">
        <f t="shared" si="10"/>
        <v>0</v>
      </c>
      <c r="E26" s="615">
        <f t="shared" si="11"/>
        <v>1040</v>
      </c>
      <c r="F26" s="614">
        <f t="shared" si="26"/>
        <v>11</v>
      </c>
      <c r="G26" s="94">
        <f t="shared" si="27"/>
        <v>31</v>
      </c>
      <c r="H26" s="211">
        <f t="shared" si="12"/>
        <v>1616.4285714285713</v>
      </c>
      <c r="I26" s="107">
        <f t="shared" si="13"/>
        <v>140090.47619047618</v>
      </c>
      <c r="J26" s="101">
        <f t="shared" si="14"/>
        <v>142090.47619047618</v>
      </c>
      <c r="K26" s="108">
        <f t="shared" si="15"/>
        <v>1705085.7142857141</v>
      </c>
      <c r="L26" s="103">
        <f t="shared" si="16"/>
        <v>144090.47619047618</v>
      </c>
      <c r="M26" s="104">
        <f>IF($D$4="",0,IF($L26=0,0,VLOOKUP($L26,'3-1.標準報酬月額・保険料表'!$N$8:$O$57,2,TRUE)))</f>
        <v>142000</v>
      </c>
      <c r="N26" s="200">
        <f t="shared" si="17"/>
        <v>0</v>
      </c>
      <c r="O26" s="104">
        <f t="shared" si="0"/>
        <v>0</v>
      </c>
      <c r="P26" s="200">
        <f t="shared" si="18"/>
        <v>140090.47619047618</v>
      </c>
      <c r="Q26" s="71">
        <f>IF($D$4="",0,IF($G26&lt;20,0,IF($Q$13="",0,IF($Q$13=2,0,IF($P26&lt;$R$13,0,IF($M26&lt;=620000,VLOOKUP($M26,'3-1.標準報酬月額・保険料表'!$D$8:$L$42,9,FALSE),'3-1.標準報酬月額・保険料表'!$L$42)+ROUNDDOWN($O26*$AA$7,0))))))</f>
        <v>0</v>
      </c>
      <c r="R26" s="60">
        <f>IF($D$4="",0,IF($G26&lt;20,0,IF($O$9="",0,IF($Q$13=2,0,IF($D$10&gt;=$S$13,0,IF($P26&lt;$R$13,0,VLOOKUP($M26,'3-1.標準報酬月額・保険料表'!$D$8:$J$57,6,FALSE)+ROUNDDOWN($O26*$X$7,0)))))))</f>
        <v>0</v>
      </c>
      <c r="S26" s="60">
        <f>IF($D$4="",0,IF($G26&lt;20,0,IF($Q$13="",0,IF($Q$13=2,0,IF($D$10&lt;$S$13,0,IF($P26&lt;$R$13,0,VLOOKUP($M26,'3-1.標準報酬月額・保険料表'!$D$8:$J$57,7,FALSE)+ROUNDDOWN($O26*$Y$7,0)))))))</f>
        <v>0</v>
      </c>
      <c r="T26" s="76">
        <f t="shared" si="19"/>
        <v>0</v>
      </c>
      <c r="U26" s="81">
        <f>IF($D$4="",0,IF($U$13="",0,IF($U$13=1,0,IF($G26&lt;$W$13,0,IF($K26&lt;$V$13,0,IF($M26&lt;=620000,VLOOKUP($M26,'3-1.標準報酬月額・保険料表'!$D$8:$L$42,9,FALSE),'3-1.標準報酬月額・保険料表'!$L$42)+ROUNDDOWN($O26*$AA$7,0))))))</f>
        <v>12993</v>
      </c>
      <c r="V26" s="82">
        <f>IF($D$4="",0,IF($U$13="",0,IF($U$13=1,0,IF($G26&lt;$W$13,0,IF($K26&lt;$V$13,0,IF($D$10&gt;=$X$13,0,VLOOKUP($M26,'3-1.標準報酬月額・保険料表'!$D$8:$J$57,6,FALSE)+ROUNDDOWN($O26*$X$7,0)))))))</f>
        <v>7305.9000000000005</v>
      </c>
      <c r="W26" s="82">
        <f>IF($D$4="",0,IF($U$13="",0,IF($U$13=1,0,IF($G26&lt;$W$13,0,IF($K26&lt;$V$13,0,IF($D$10&lt;$X$13,0,VLOOKUP($M26,'3-1.標準報酬月額・保険料表'!$D$8:$J$57,7,FALSE)+ROUNDDOWN($O26*$Y$7,0)))))))</f>
        <v>0</v>
      </c>
      <c r="X26" s="83">
        <f t="shared" si="20"/>
        <v>20298.900000000001</v>
      </c>
      <c r="Y26" s="144">
        <f t="shared" si="1"/>
        <v>0</v>
      </c>
      <c r="Z26" s="144">
        <f>IF($D$4="",0,IF($U$13="",0,IF($U$13=1,0,IF(AND($K26&gt;=$V$13,$G26&lt;$W$13),'3-3.国民健康保険料簡易計算'!$Q21,0))))</f>
        <v>0</v>
      </c>
      <c r="AA26" s="144">
        <f t="shared" si="28"/>
        <v>0</v>
      </c>
      <c r="AB26" s="73">
        <f t="shared" si="2"/>
        <v>10230.514285714286</v>
      </c>
      <c r="AC26" s="78">
        <f t="shared" si="3"/>
        <v>253817.3142857143</v>
      </c>
      <c r="AD26" s="162">
        <f>IF($D$4="","",VLOOKUP($K26,'3-2.所得算出参照表'!K$5:L$10,2,TRUE))</f>
        <v>1800000</v>
      </c>
      <c r="AE26" s="163">
        <f>IF($AD26="",0,IF($AD26='3-2.所得算出参照表'!$B$5,'3-2.所得算出参照表'!$E$5,IF('4-1.労働時間延長メニューメイン-1'!$AD26='3-2.所得算出参照表'!$B$6,'4-1.労働時間延長メニューメイン-1'!$K26*'3-2.所得算出参照表'!$E$6+'3-2.所得算出参照表'!$G$6,IF('4-1.労働時間延長メニューメイン-1'!$AD26='3-2.所得算出参照表'!$B$7,'4-1.労働時間延長メニューメイン-1'!$K26*'3-2.所得算出参照表'!$E$7+'3-2.所得算出参照表'!$G$7,IF('4-1.労働時間延長メニューメイン-1'!$AD26='3-2.所得算出参照表'!$B$8,'4-1.労働時間延長メニューメイン-1'!$K26*'3-2.所得算出参照表'!$E$8+'3-2.所得算出参照表'!$G$8,IF('4-1.労働時間延長メニューメイン-1'!$AD26='3-2.所得算出参照表'!$B$9,'4-1.労働時間延長メニューメイン-1'!$K26*'3-2.所得算出参照表'!$E$9+'3-2.所得算出参照表'!$G$9,IF($AD26='3-2.所得算出参照表'!$B$10,'3-2.所得算出参照表'!$G$10)))))))</f>
        <v>582034.28571428568</v>
      </c>
      <c r="AF26" s="123">
        <f t="shared" si="4"/>
        <v>480000</v>
      </c>
      <c r="AG26" s="118">
        <f t="shared" si="21"/>
        <v>389000</v>
      </c>
      <c r="AH26" s="165">
        <f>VLOOKUP($AG26,'3-2.所得算出参照表'!$N$4:$O$11,2,TRUE)</f>
        <v>0.05</v>
      </c>
      <c r="AI26" s="118">
        <f>VLOOKUP($AG26,'3-2.所得算出参照表'!$P$4:$Q$11,2,TRUE)</f>
        <v>0</v>
      </c>
      <c r="AJ26" s="118">
        <f t="shared" si="29"/>
        <v>19450</v>
      </c>
      <c r="AK26" s="118">
        <f>$AJ26*'3-2.所得算出参照表'!$D$14</f>
        <v>408.45000000000005</v>
      </c>
      <c r="AL26" s="132">
        <f t="shared" si="30"/>
        <v>19800</v>
      </c>
      <c r="AM26" s="140">
        <f>IF($AD26="",0,IF($AD26='3-2.所得算出参照表'!$B$5,'3-2.所得算出参照表'!$E$5,IF('4-1.労働時間延長メニューメイン-1'!$AD26='3-2.所得算出参照表'!$B$6,'4-1.労働時間延長メニューメイン-1'!$K26*'3-2.所得算出参照表'!$E$6+'3-2.所得算出参照表'!$G$6,IF('4-1.労働時間延長メニューメイン-1'!$AD26='3-2.所得算出参照表'!$B$7,'4-1.労働時間延長メニューメイン-1'!$K26*'3-2.所得算出参照表'!$E$7+'3-2.所得算出参照表'!$G$7,IF('4-1.労働時間延長メニューメイン-1'!$AD26='3-2.所得算出参照表'!$B$8,'4-1.労働時間延長メニューメイン-1'!$K26*'3-2.所得算出参照表'!$E$8+'3-2.所得算出参照表'!$G$8,IF('4-1.労働時間延長メニューメイン-1'!$AD26='3-2.所得算出参照表'!$B$9,'4-1.労働時間延長メニューメイン-1'!$K26*'3-2.所得算出参照表'!$E$9+'3-2.所得算出参照表'!$G$9,IF($AD26='3-2.所得算出参照表'!$B$10,'3-2.所得算出参照表'!$G$10)))))))</f>
        <v>582034.28571428568</v>
      </c>
      <c r="AN26" s="82">
        <f t="shared" si="5"/>
        <v>430000</v>
      </c>
      <c r="AO26" s="128">
        <f t="shared" si="6"/>
        <v>439000</v>
      </c>
      <c r="AP26" s="128">
        <f t="shared" si="7"/>
        <v>5500</v>
      </c>
      <c r="AQ26" s="129">
        <f t="shared" si="8"/>
        <v>0.1</v>
      </c>
      <c r="AR26" s="136">
        <f t="shared" si="24"/>
        <v>46900</v>
      </c>
      <c r="AS26" s="155">
        <f t="shared" si="9"/>
        <v>1384568.4</v>
      </c>
    </row>
    <row r="27" spans="2:45" ht="21.95" customHeight="1" x14ac:dyDescent="0.15">
      <c r="B27" s="111">
        <v>13</v>
      </c>
      <c r="C27" s="612">
        <f t="shared" si="25"/>
        <v>1040</v>
      </c>
      <c r="D27" s="619">
        <f t="shared" si="10"/>
        <v>0</v>
      </c>
      <c r="E27" s="615">
        <f t="shared" si="11"/>
        <v>1040</v>
      </c>
      <c r="F27" s="614">
        <f t="shared" si="26"/>
        <v>12</v>
      </c>
      <c r="G27" s="94">
        <f t="shared" si="27"/>
        <v>32</v>
      </c>
      <c r="H27" s="211">
        <f t="shared" si="12"/>
        <v>1668.5714285714287</v>
      </c>
      <c r="I27" s="107">
        <f t="shared" si="13"/>
        <v>144609.52380952382</v>
      </c>
      <c r="J27" s="101">
        <f t="shared" si="14"/>
        <v>146609.52380952382</v>
      </c>
      <c r="K27" s="108">
        <f t="shared" si="15"/>
        <v>1759314.2857142859</v>
      </c>
      <c r="L27" s="103">
        <f t="shared" si="16"/>
        <v>148609.52380952382</v>
      </c>
      <c r="M27" s="104">
        <f>IF($D$4="",0,IF($L27=0,0,VLOOKUP($L27,'3-1.標準報酬月額・保険料表'!$N$8:$O$57,2,TRUE)))</f>
        <v>150000</v>
      </c>
      <c r="N27" s="200">
        <f t="shared" si="17"/>
        <v>0</v>
      </c>
      <c r="O27" s="104">
        <f t="shared" si="0"/>
        <v>0</v>
      </c>
      <c r="P27" s="200">
        <f t="shared" si="18"/>
        <v>144609.52380952382</v>
      </c>
      <c r="Q27" s="71">
        <f>IF($D$4="",0,IF($G27&lt;20,0,IF($Q$13="",0,IF($Q$13=2,0,IF($P27&lt;$R$13,0,IF($M27&lt;=620000,VLOOKUP($M27,'3-1.標準報酬月額・保険料表'!$D$8:$L$42,9,FALSE),'3-1.標準報酬月額・保険料表'!$L$42)+ROUNDDOWN($O27*$AA$7,0))))))</f>
        <v>0</v>
      </c>
      <c r="R27" s="60">
        <f>IF($D$4="",0,IF($G27&lt;20,0,IF($O$9="",0,IF($Q$13=2,0,IF($D$10&gt;=$S$13,0,IF($P27&lt;$R$13,0,VLOOKUP($M27,'3-1.標準報酬月額・保険料表'!$D$8:$J$57,6,FALSE)+ROUNDDOWN($O27*$X$7,0)))))))</f>
        <v>0</v>
      </c>
      <c r="S27" s="60">
        <f>IF($D$4="",0,IF($G27&lt;20,0,IF($Q$13="",0,IF($Q$13=2,0,IF($D$10&lt;$S$13,0,IF($P27&lt;$R$13,0,VLOOKUP($M27,'3-1.標準報酬月額・保険料表'!$D$8:$J$57,7,FALSE)+ROUNDDOWN($O27*$Y$7,0)))))))</f>
        <v>0</v>
      </c>
      <c r="T27" s="76">
        <f t="shared" si="19"/>
        <v>0</v>
      </c>
      <c r="U27" s="81">
        <f>IF($D$4="",0,IF($U$13="",0,IF($U$13=1,0,IF($G27&lt;$W$13,0,IF($K27&lt;$V$13,0,IF($M27&lt;=620000,VLOOKUP($M27,'3-1.標準報酬月額・保険料表'!$D$8:$L$42,9,FALSE),'3-1.標準報酬月額・保険料表'!$L$42)+ROUNDDOWN($O27*$AA$7,0))))))</f>
        <v>13725</v>
      </c>
      <c r="V27" s="82">
        <f>IF($D$4="",0,IF($U$13="",0,IF($U$13=1,0,IF($G27&lt;$W$13,0,IF($K27&lt;$V$13,0,IF($D$10&gt;=$X$13,0,VLOOKUP($M27,'3-1.標準報酬月額・保険料表'!$D$8:$J$57,6,FALSE)+ROUNDDOWN($O27*$X$7,0)))))))</f>
        <v>7717.5</v>
      </c>
      <c r="W27" s="82">
        <f>IF($D$4="",0,IF($U$13="",0,IF($U$13=1,0,IF($G27&lt;$W$13,0,IF($K27&lt;$V$13,0,IF($D$10&lt;$X$13,0,VLOOKUP($M27,'3-1.標準報酬月額・保険料表'!$D$8:$J$57,7,FALSE)+ROUNDDOWN($O27*$Y$7,0)))))))</f>
        <v>0</v>
      </c>
      <c r="X27" s="83">
        <f>SUM($U27:$W27)</f>
        <v>21442.5</v>
      </c>
      <c r="Y27" s="144">
        <f t="shared" si="1"/>
        <v>0</v>
      </c>
      <c r="Z27" s="144">
        <f>IF($D$4="",0,IF($U$13="",0,IF($U$13=1,0,IF(AND($K27&gt;=$V$13,$G27&lt;$W$13),'3-3.国民健康保険料簡易計算'!$Q22,0))))</f>
        <v>0</v>
      </c>
      <c r="AA27" s="144">
        <f t="shared" si="28"/>
        <v>0</v>
      </c>
      <c r="AB27" s="73">
        <f t="shared" si="2"/>
        <v>10555.885714285716</v>
      </c>
      <c r="AC27" s="78">
        <f t="shared" si="3"/>
        <v>267865.88571428572</v>
      </c>
      <c r="AD27" s="162">
        <f>IF($D$4="","",VLOOKUP($K27,'3-2.所得算出参照表'!K$5:L$10,2,TRUE))</f>
        <v>1800000</v>
      </c>
      <c r="AE27" s="163">
        <f>IF($AD27="",0,IF($AD27='3-2.所得算出参照表'!$B$5,'3-2.所得算出参照表'!$E$5,IF('4-1.労働時間延長メニューメイン-1'!$AD27='3-2.所得算出参照表'!$B$6,'4-1.労働時間延長メニューメイン-1'!$K27*'3-2.所得算出参照表'!$E$6+'3-2.所得算出参照表'!$G$6,IF('4-1.労働時間延長メニューメイン-1'!$AD27='3-2.所得算出参照表'!$B$7,'4-1.労働時間延長メニューメイン-1'!$K27*'3-2.所得算出参照表'!$E$7+'3-2.所得算出参照表'!$G$7,IF('4-1.労働時間延長メニューメイン-1'!$AD27='3-2.所得算出参照表'!$B$8,'4-1.労働時間延長メニューメイン-1'!$K27*'3-2.所得算出参照表'!$E$8+'3-2.所得算出参照表'!$G$8,IF('4-1.労働時間延長メニューメイン-1'!$AD27='3-2.所得算出参照表'!$B$9,'4-1.労働時間延長メニューメイン-1'!$K27*'3-2.所得算出参照表'!$E$9+'3-2.所得算出参照表'!$G$9,IF($AD27='3-2.所得算出参照表'!$B$10,'3-2.所得算出参照表'!$G$10)))))))</f>
        <v>603725.71428571444</v>
      </c>
      <c r="AF27" s="123">
        <f t="shared" si="4"/>
        <v>480000</v>
      </c>
      <c r="AG27" s="118">
        <f t="shared" si="21"/>
        <v>407000</v>
      </c>
      <c r="AH27" s="165">
        <f>VLOOKUP($AG27,'3-2.所得算出参照表'!$N$4:$O$11,2,TRUE)</f>
        <v>0.05</v>
      </c>
      <c r="AI27" s="118">
        <f>VLOOKUP($AG27,'3-2.所得算出参照表'!$P$4:$Q$11,2,TRUE)</f>
        <v>0</v>
      </c>
      <c r="AJ27" s="118">
        <f t="shared" si="29"/>
        <v>20350</v>
      </c>
      <c r="AK27" s="118">
        <f>$AJ27*'3-2.所得算出参照表'!$D$14</f>
        <v>427.35</v>
      </c>
      <c r="AL27" s="132">
        <f t="shared" si="30"/>
        <v>20700</v>
      </c>
      <c r="AM27" s="140">
        <f>IF($AD27="",0,IF($AD27='3-2.所得算出参照表'!$B$5,'3-2.所得算出参照表'!$E$5,IF('4-1.労働時間延長メニューメイン-1'!$AD27='3-2.所得算出参照表'!$B$6,'4-1.労働時間延長メニューメイン-1'!$K27*'3-2.所得算出参照表'!$E$6+'3-2.所得算出参照表'!$G$6,IF('4-1.労働時間延長メニューメイン-1'!$AD27='3-2.所得算出参照表'!$B$7,'4-1.労働時間延長メニューメイン-1'!$K27*'3-2.所得算出参照表'!$E$7+'3-2.所得算出参照表'!$G$7,IF('4-1.労働時間延長メニューメイン-1'!$AD27='3-2.所得算出参照表'!$B$8,'4-1.労働時間延長メニューメイン-1'!$K27*'3-2.所得算出参照表'!$E$8+'3-2.所得算出参照表'!$G$8,IF('4-1.労働時間延長メニューメイン-1'!$AD27='3-2.所得算出参照表'!$B$9,'4-1.労働時間延長メニューメイン-1'!$K27*'3-2.所得算出参照表'!$E$9+'3-2.所得算出参照表'!$G$9,IF($AD27='3-2.所得算出参照表'!$B$10,'3-2.所得算出参照表'!$G$10)))))))</f>
        <v>603725.71428571444</v>
      </c>
      <c r="AN27" s="82">
        <f t="shared" si="5"/>
        <v>430000</v>
      </c>
      <c r="AO27" s="128">
        <f t="shared" si="6"/>
        <v>457000</v>
      </c>
      <c r="AP27" s="128">
        <f t="shared" si="7"/>
        <v>5500</v>
      </c>
      <c r="AQ27" s="129">
        <f t="shared" si="8"/>
        <v>0.1</v>
      </c>
      <c r="AR27" s="136">
        <f t="shared" si="24"/>
        <v>48700</v>
      </c>
      <c r="AS27" s="155">
        <f t="shared" si="9"/>
        <v>1422048.4000000001</v>
      </c>
    </row>
    <row r="28" spans="2:45" ht="21.95" customHeight="1" x14ac:dyDescent="0.15">
      <c r="B28" s="111">
        <v>14</v>
      </c>
      <c r="C28" s="612">
        <f t="shared" si="25"/>
        <v>1040</v>
      </c>
      <c r="D28" s="619">
        <f t="shared" si="10"/>
        <v>0</v>
      </c>
      <c r="E28" s="615">
        <f t="shared" si="11"/>
        <v>1040</v>
      </c>
      <c r="F28" s="614">
        <f t="shared" si="26"/>
        <v>13</v>
      </c>
      <c r="G28" s="94">
        <f t="shared" si="27"/>
        <v>33</v>
      </c>
      <c r="H28" s="211">
        <f t="shared" si="12"/>
        <v>1720.7142857142858</v>
      </c>
      <c r="I28" s="107">
        <f t="shared" si="13"/>
        <v>149128.57142857145</v>
      </c>
      <c r="J28" s="101">
        <f t="shared" si="14"/>
        <v>151128.57142857145</v>
      </c>
      <c r="K28" s="108">
        <f t="shared" si="15"/>
        <v>1813542.8571428573</v>
      </c>
      <c r="L28" s="103">
        <f t="shared" si="16"/>
        <v>153128.57142857145</v>
      </c>
      <c r="M28" s="104">
        <f>IF($D$4="",0,IF($L28=0,0,VLOOKUP($L28,'3-1.標準報酬月額・保険料表'!$N$8:$O$57,2,TRUE)))</f>
        <v>150000</v>
      </c>
      <c r="N28" s="200">
        <f t="shared" si="17"/>
        <v>0</v>
      </c>
      <c r="O28" s="104">
        <f t="shared" si="0"/>
        <v>0</v>
      </c>
      <c r="P28" s="200">
        <f t="shared" si="18"/>
        <v>149128.57142857145</v>
      </c>
      <c r="Q28" s="71">
        <f>IF($D$4="",0,IF($G28&lt;20,0,IF($Q$13="",0,IF($Q$13=2,0,IF($P28&lt;$R$13,0,IF($M28&lt;=620000,VLOOKUP($M28,'3-1.標準報酬月額・保険料表'!$D$8:$L$42,9,FALSE),'3-1.標準報酬月額・保険料表'!$L$42)+ROUNDDOWN($O28*$AA$7,0))))))</f>
        <v>0</v>
      </c>
      <c r="R28" s="60">
        <f>IF($D$4="",0,IF($G28&lt;20,0,IF($O$9="",0,IF($Q$13=2,0,IF($D$10&gt;=$S$13,0,IF($P28&lt;$R$13,0,VLOOKUP($M28,'3-1.標準報酬月額・保険料表'!$D$8:$J$57,6,FALSE)+ROUNDDOWN($O28*$X$7,0)))))))</f>
        <v>0</v>
      </c>
      <c r="S28" s="60">
        <f>IF($D$4="",0,IF($G28&lt;20,0,IF($Q$13="",0,IF($Q$13=2,0,IF($D$10&lt;$S$13,0,IF($P28&lt;$R$13,0,VLOOKUP($M28,'3-1.標準報酬月額・保険料表'!$D$8:$J$57,7,FALSE)+ROUNDDOWN($O28*$Y$7,0)))))))</f>
        <v>0</v>
      </c>
      <c r="T28" s="76">
        <f t="shared" si="19"/>
        <v>0</v>
      </c>
      <c r="U28" s="81">
        <f>IF($D$4="",0,IF($U$13="",0,IF($U$13=1,0,IF($G28&lt;$W$13,0,IF($K28&lt;$V$13,0,IF($M28&lt;=620000,VLOOKUP($M28,'3-1.標準報酬月額・保険料表'!$D$8:$L$42,9,FALSE),'3-1.標準報酬月額・保険料表'!$L$42)+ROUNDDOWN($O28*$AA$7,0))))))</f>
        <v>13725</v>
      </c>
      <c r="V28" s="82">
        <f>IF($D$4="",0,IF($U$13="",0,IF($U$13=1,0,IF($G28&lt;$W$13,0,IF($K28&lt;$V$13,0,IF($D$10&gt;=$X$13,0,VLOOKUP($M28,'3-1.標準報酬月額・保険料表'!$D$8:$J$57,6,FALSE)+ROUNDDOWN($O28*$X$7,0)))))))</f>
        <v>7717.5</v>
      </c>
      <c r="W28" s="82">
        <f>IF($D$4="",0,IF($U$13="",0,IF($U$13=1,0,IF($G28&lt;$W$13,0,IF($K28&lt;$V$13,0,IF($D$10&lt;$X$13,0,VLOOKUP($M28,'3-1.標準報酬月額・保険料表'!$D$8:$J$57,7,FALSE)+ROUNDDOWN($O28*$Y$7,0)))))))</f>
        <v>0</v>
      </c>
      <c r="X28" s="83">
        <f t="shared" si="20"/>
        <v>21442.5</v>
      </c>
      <c r="Y28" s="144">
        <f t="shared" si="1"/>
        <v>0</v>
      </c>
      <c r="Z28" s="144">
        <f>IF($D$4="",0,IF($U$13="",0,IF($U$13=1,0,IF(AND($K28&gt;=$V$13,$G28&lt;$W$13),'3-3.国民健康保険料簡易計算'!$Q23,0))))</f>
        <v>0</v>
      </c>
      <c r="AA28" s="144">
        <f t="shared" si="28"/>
        <v>0</v>
      </c>
      <c r="AB28" s="73">
        <f t="shared" si="2"/>
        <v>10881.257142857145</v>
      </c>
      <c r="AC28" s="78">
        <f t="shared" si="3"/>
        <v>268191.25714285712</v>
      </c>
      <c r="AD28" s="162">
        <f>IF($D$4="","",VLOOKUP($K28,'3-2.所得算出参照表'!K$5:L$10,2,TRUE))</f>
        <v>3600000</v>
      </c>
      <c r="AE28" s="163">
        <f>IF($AD28="",0,IF($AD28='3-2.所得算出参照表'!$B$5,'3-2.所得算出参照表'!$E$5,IF('4-1.労働時間延長メニューメイン-1'!$AD28='3-2.所得算出参照表'!$B$6,'4-1.労働時間延長メニューメイン-1'!$K28*'3-2.所得算出参照表'!$E$6+'3-2.所得算出参照表'!$G$6,IF('4-1.労働時間延長メニューメイン-1'!$AD28='3-2.所得算出参照表'!$B$7,'4-1.労働時間延長メニューメイン-1'!$K28*'3-2.所得算出参照表'!$E$7+'3-2.所得算出参照表'!$G$7,IF('4-1.労働時間延長メニューメイン-1'!$AD28='3-2.所得算出参照表'!$B$8,'4-1.労働時間延長メニューメイン-1'!$K28*'3-2.所得算出参照表'!$E$8+'3-2.所得算出参照表'!$G$8,IF('4-1.労働時間延長メニューメイン-1'!$AD28='3-2.所得算出参照表'!$B$9,'4-1.労働時間延長メニューメイン-1'!$K28*'3-2.所得算出参照表'!$E$9+'3-2.所得算出参照表'!$G$9,IF($AD28='3-2.所得算出参照表'!$B$10,'3-2.所得算出参照表'!$G$10)))))))</f>
        <v>624062.85714285716</v>
      </c>
      <c r="AF28" s="123">
        <f t="shared" si="4"/>
        <v>480000</v>
      </c>
      <c r="AG28" s="118">
        <f t="shared" si="21"/>
        <v>441000</v>
      </c>
      <c r="AH28" s="165">
        <f>VLOOKUP($AG28,'3-2.所得算出参照表'!$N$4:$O$11,2,TRUE)</f>
        <v>0.05</v>
      </c>
      <c r="AI28" s="118">
        <f>VLOOKUP($AG28,'3-2.所得算出参照表'!$P$4:$Q$11,2,TRUE)</f>
        <v>0</v>
      </c>
      <c r="AJ28" s="118">
        <f t="shared" si="29"/>
        <v>22050</v>
      </c>
      <c r="AK28" s="118">
        <f>$AJ28*'3-2.所得算出参照表'!$D$14</f>
        <v>463.05</v>
      </c>
      <c r="AL28" s="132">
        <f t="shared" si="30"/>
        <v>22500</v>
      </c>
      <c r="AM28" s="140">
        <f>IF($AD28="",0,IF($AD28='3-2.所得算出参照表'!$B$5,'3-2.所得算出参照表'!$E$5,IF('4-1.労働時間延長メニューメイン-1'!$AD28='3-2.所得算出参照表'!$B$6,'4-1.労働時間延長メニューメイン-1'!$K28*'3-2.所得算出参照表'!$E$6+'3-2.所得算出参照表'!$G$6,IF('4-1.労働時間延長メニューメイン-1'!$AD28='3-2.所得算出参照表'!$B$7,'4-1.労働時間延長メニューメイン-1'!$K28*'3-2.所得算出参照表'!$E$7+'3-2.所得算出参照表'!$G$7,IF('4-1.労働時間延長メニューメイン-1'!$AD28='3-2.所得算出参照表'!$B$8,'4-1.労働時間延長メニューメイン-1'!$K28*'3-2.所得算出参照表'!$E$8+'3-2.所得算出参照表'!$G$8,IF('4-1.労働時間延長メニューメイン-1'!$AD28='3-2.所得算出参照表'!$B$9,'4-1.労働時間延長メニューメイン-1'!$K28*'3-2.所得算出参照表'!$E$9+'3-2.所得算出参照表'!$G$9,IF($AD28='3-2.所得算出参照表'!$B$10,'3-2.所得算出参照表'!$G$10)))))))</f>
        <v>624062.85714285716</v>
      </c>
      <c r="AN28" s="82">
        <f t="shared" si="5"/>
        <v>430000</v>
      </c>
      <c r="AO28" s="128">
        <f t="shared" si="6"/>
        <v>491000</v>
      </c>
      <c r="AP28" s="128">
        <f t="shared" si="7"/>
        <v>5500</v>
      </c>
      <c r="AQ28" s="129">
        <f t="shared" si="8"/>
        <v>0.1</v>
      </c>
      <c r="AR28" s="136">
        <f t="shared" si="24"/>
        <v>52100</v>
      </c>
      <c r="AS28" s="155">
        <f t="shared" si="9"/>
        <v>1470751.6</v>
      </c>
    </row>
    <row r="29" spans="2:45" ht="21.95" customHeight="1" x14ac:dyDescent="0.15">
      <c r="B29" s="111">
        <v>15</v>
      </c>
      <c r="C29" s="612">
        <f t="shared" si="25"/>
        <v>1040</v>
      </c>
      <c r="D29" s="619">
        <f t="shared" si="10"/>
        <v>0</v>
      </c>
      <c r="E29" s="615">
        <f t="shared" si="11"/>
        <v>1040</v>
      </c>
      <c r="F29" s="614">
        <f t="shared" si="26"/>
        <v>14</v>
      </c>
      <c r="G29" s="94">
        <f t="shared" si="27"/>
        <v>34</v>
      </c>
      <c r="H29" s="211">
        <f t="shared" si="12"/>
        <v>1772.8571428571429</v>
      </c>
      <c r="I29" s="107">
        <f t="shared" si="13"/>
        <v>153647.61904761905</v>
      </c>
      <c r="J29" s="101">
        <f t="shared" si="14"/>
        <v>155647.61904761905</v>
      </c>
      <c r="K29" s="108">
        <f t="shared" si="15"/>
        <v>1867771.4285714286</v>
      </c>
      <c r="L29" s="103">
        <f t="shared" si="16"/>
        <v>157647.61904761905</v>
      </c>
      <c r="M29" s="104">
        <f>IF($D$4="",0,IF($L29=0,0,VLOOKUP($L29,'3-1.標準報酬月額・保険料表'!$N$8:$O$57,2,TRUE)))</f>
        <v>160000</v>
      </c>
      <c r="N29" s="200">
        <f t="shared" si="17"/>
        <v>0</v>
      </c>
      <c r="O29" s="104">
        <f t="shared" si="0"/>
        <v>0</v>
      </c>
      <c r="P29" s="200">
        <f t="shared" si="18"/>
        <v>153647.61904761905</v>
      </c>
      <c r="Q29" s="71">
        <f>IF($D$4="",0,IF($G29&lt;20,0,IF($Q$13="",0,IF($Q$13=2,0,IF($P29&lt;$R$13,0,IF($M29&lt;=620000,VLOOKUP($M29,'3-1.標準報酬月額・保険料表'!$D$8:$L$42,9,FALSE),'3-1.標準報酬月額・保険料表'!$L$42)+ROUNDDOWN($O29*$AA$7,0))))))</f>
        <v>0</v>
      </c>
      <c r="R29" s="60">
        <f>IF($D$4="",0,IF($G29&lt;20,0,IF($O$9="",0,IF($Q$13=2,0,IF($D$10&gt;=$S$13,0,IF($P29&lt;$R$13,0,VLOOKUP($M29,'3-1.標準報酬月額・保険料表'!$D$8:$J$57,6,FALSE)+ROUNDDOWN($O29*$X$7,0)))))))</f>
        <v>0</v>
      </c>
      <c r="S29" s="60">
        <f>IF($D$4="",0,IF($G29&lt;20,0,IF($Q$13="",0,IF($Q$13=2,0,IF($D$10&lt;$S$13,0,IF($P29&lt;$R$13,0,VLOOKUP($M29,'3-1.標準報酬月額・保険料表'!$D$8:$J$57,7,FALSE)+ROUNDDOWN($O29*$Y$7,0)))))))</f>
        <v>0</v>
      </c>
      <c r="T29" s="76">
        <f t="shared" si="19"/>
        <v>0</v>
      </c>
      <c r="U29" s="81">
        <f>IF($D$4="",0,IF($U$13="",0,IF($U$13=1,0,IF($G29&lt;$W$13,0,IF($K29&lt;$V$13,0,IF($M29&lt;=620000,VLOOKUP($M29,'3-1.標準報酬月額・保険料表'!$D$8:$L$42,9,FALSE),'3-1.標準報酬月額・保険料表'!$L$42)+ROUNDDOWN($O29*$AA$7,0))))))</f>
        <v>14640</v>
      </c>
      <c r="V29" s="82">
        <f>IF($D$4="",0,IF($U$13="",0,IF($U$13=1,0,IF($G29&lt;$W$13,0,IF($K29&lt;$V$13,0,IF($D$10&gt;=$X$13,0,VLOOKUP($M29,'3-1.標準報酬月額・保険料表'!$D$8:$J$57,6,FALSE)+ROUNDDOWN($O29*$X$7,0)))))))</f>
        <v>8232</v>
      </c>
      <c r="W29" s="82">
        <f>IF($D$4="",0,IF($U$13="",0,IF($U$13=1,0,IF($G29&lt;$W$13,0,IF($K29&lt;$V$13,0,IF($D$10&lt;$X$13,0,VLOOKUP($M29,'3-1.標準報酬月額・保険料表'!$D$8:$J$57,7,FALSE)+ROUNDDOWN($O29*$Y$7,0)))))))</f>
        <v>0</v>
      </c>
      <c r="X29" s="83">
        <f t="shared" si="20"/>
        <v>22872</v>
      </c>
      <c r="Y29" s="144">
        <f t="shared" si="1"/>
        <v>0</v>
      </c>
      <c r="Z29" s="144">
        <f>IF($D$4="",0,IF($U$13="",0,IF($U$13=1,0,IF(AND($K29&gt;=$V$13,$G29&lt;$W$13),'3-3.国民健康保険料簡易計算'!$Q24,0))))</f>
        <v>0</v>
      </c>
      <c r="AA29" s="144">
        <f t="shared" si="28"/>
        <v>0</v>
      </c>
      <c r="AB29" s="73">
        <f t="shared" si="2"/>
        <v>11206.628571428571</v>
      </c>
      <c r="AC29" s="78">
        <f t="shared" si="3"/>
        <v>285670.62857142859</v>
      </c>
      <c r="AD29" s="162">
        <f>IF($D$4="","",VLOOKUP($K29,'3-2.所得算出参照表'!K$5:L$10,2,TRUE))</f>
        <v>3600000</v>
      </c>
      <c r="AE29" s="163">
        <f>IF($AD29="",0,IF($AD29='3-2.所得算出参照表'!$B$5,'3-2.所得算出参照表'!$E$5,IF('4-1.労働時間延長メニューメイン-1'!$AD29='3-2.所得算出参照表'!$B$6,'4-1.労働時間延長メニューメイン-1'!$K29*'3-2.所得算出参照表'!$E$6+'3-2.所得算出参照表'!$G$6,IF('4-1.労働時間延長メニューメイン-1'!$AD29='3-2.所得算出参照表'!$B$7,'4-1.労働時間延長メニューメイン-1'!$K29*'3-2.所得算出参照表'!$E$7+'3-2.所得算出参照表'!$G$7,IF('4-1.労働時間延長メニューメイン-1'!$AD29='3-2.所得算出参照表'!$B$8,'4-1.労働時間延長メニューメイン-1'!$K29*'3-2.所得算出参照表'!$E$8+'3-2.所得算出参照表'!$G$8,IF('4-1.労働時間延長メニューメイン-1'!$AD29='3-2.所得算出参照表'!$B$9,'4-1.労働時間延長メニューメイン-1'!$K29*'3-2.所得算出参照表'!$E$9+'3-2.所得算出参照表'!$G$9,IF($AD29='3-2.所得算出参照表'!$B$10,'3-2.所得算出参照表'!$G$10)))))))</f>
        <v>640331.42857142852</v>
      </c>
      <c r="AF29" s="123">
        <f t="shared" si="4"/>
        <v>480000</v>
      </c>
      <c r="AG29" s="118">
        <f t="shared" si="21"/>
        <v>461000</v>
      </c>
      <c r="AH29" s="165">
        <f>VLOOKUP($AG29,'3-2.所得算出参照表'!$N$4:$O$11,2,TRUE)</f>
        <v>0.05</v>
      </c>
      <c r="AI29" s="118">
        <f>VLOOKUP($AG29,'3-2.所得算出参照表'!$P$4:$Q$11,2,TRUE)</f>
        <v>0</v>
      </c>
      <c r="AJ29" s="118">
        <f t="shared" si="29"/>
        <v>23050</v>
      </c>
      <c r="AK29" s="118">
        <f>$AJ29*'3-2.所得算出参照表'!$D$14</f>
        <v>484.05</v>
      </c>
      <c r="AL29" s="132">
        <f t="shared" si="30"/>
        <v>23500</v>
      </c>
      <c r="AM29" s="140">
        <f>IF($AD29="",0,IF($AD29='3-2.所得算出参照表'!$B$5,'3-2.所得算出参照表'!$E$5,IF('4-1.労働時間延長メニューメイン-1'!$AD29='3-2.所得算出参照表'!$B$6,'4-1.労働時間延長メニューメイン-1'!$K29*'3-2.所得算出参照表'!$E$6+'3-2.所得算出参照表'!$G$6,IF('4-1.労働時間延長メニューメイン-1'!$AD29='3-2.所得算出参照表'!$B$7,'4-1.労働時間延長メニューメイン-1'!$K29*'3-2.所得算出参照表'!$E$7+'3-2.所得算出参照表'!$G$7,IF('4-1.労働時間延長メニューメイン-1'!$AD29='3-2.所得算出参照表'!$B$8,'4-1.労働時間延長メニューメイン-1'!$K29*'3-2.所得算出参照表'!$E$8+'3-2.所得算出参照表'!$G$8,IF('4-1.労働時間延長メニューメイン-1'!$AD29='3-2.所得算出参照表'!$B$9,'4-1.労働時間延長メニューメイン-1'!$K29*'3-2.所得算出参照表'!$E$9+'3-2.所得算出参照表'!$G$9,IF($AD29='3-2.所得算出参照表'!$B$10,'3-2.所得算出参照表'!$G$10)))))))</f>
        <v>640331.42857142852</v>
      </c>
      <c r="AN29" s="82">
        <f t="shared" si="5"/>
        <v>430000</v>
      </c>
      <c r="AO29" s="128">
        <f t="shared" si="6"/>
        <v>511000</v>
      </c>
      <c r="AP29" s="128">
        <f t="shared" si="7"/>
        <v>5500</v>
      </c>
      <c r="AQ29" s="129">
        <f t="shared" si="8"/>
        <v>0.1</v>
      </c>
      <c r="AR29" s="136">
        <f t="shared" si="24"/>
        <v>54100</v>
      </c>
      <c r="AS29" s="155">
        <f t="shared" si="9"/>
        <v>1504500.8</v>
      </c>
    </row>
    <row r="30" spans="2:45" ht="21.95" customHeight="1" x14ac:dyDescent="0.15">
      <c r="B30" s="110">
        <v>16</v>
      </c>
      <c r="C30" s="612">
        <f t="shared" si="25"/>
        <v>1040</v>
      </c>
      <c r="D30" s="619">
        <f t="shared" si="10"/>
        <v>0</v>
      </c>
      <c r="E30" s="615">
        <f t="shared" si="11"/>
        <v>1040</v>
      </c>
      <c r="F30" s="614">
        <f t="shared" si="26"/>
        <v>15</v>
      </c>
      <c r="G30" s="94">
        <f t="shared" si="27"/>
        <v>35</v>
      </c>
      <c r="H30" s="211">
        <f t="shared" si="12"/>
        <v>1825</v>
      </c>
      <c r="I30" s="107">
        <f t="shared" si="13"/>
        <v>158166.66666666666</v>
      </c>
      <c r="J30" s="101">
        <f t="shared" si="14"/>
        <v>160166.66666666666</v>
      </c>
      <c r="K30" s="108">
        <f t="shared" si="15"/>
        <v>1922000</v>
      </c>
      <c r="L30" s="103">
        <f t="shared" si="16"/>
        <v>162166.66666666666</v>
      </c>
      <c r="M30" s="104">
        <f>IF($D$4="",0,IF($L30=0,0,VLOOKUP($L30,'3-1.標準報酬月額・保険料表'!$N$8:$O$57,2,TRUE)))</f>
        <v>160000</v>
      </c>
      <c r="N30" s="200">
        <f t="shared" si="17"/>
        <v>0</v>
      </c>
      <c r="O30" s="104">
        <f t="shared" si="0"/>
        <v>0</v>
      </c>
      <c r="P30" s="200">
        <f t="shared" si="18"/>
        <v>158166.66666666666</v>
      </c>
      <c r="Q30" s="71">
        <f>IF($D$4="",0,IF($G30&lt;20,0,IF($Q$13="",0,IF($Q$13=2,0,IF($P30&lt;$R$13,0,IF($M30&lt;=620000,VLOOKUP($M30,'3-1.標準報酬月額・保険料表'!$D$8:$L$42,9,FALSE),'3-1.標準報酬月額・保険料表'!$L$42)+ROUNDDOWN($O30*$AA$7,0))))))</f>
        <v>0</v>
      </c>
      <c r="R30" s="60">
        <f>IF($D$4="",0,IF($G30&lt;20,0,IF($O$9="",0,IF($Q$13=2,0,IF($D$10&gt;=$S$13,0,IF($P30&lt;$R$13,0,VLOOKUP($M30,'3-1.標準報酬月額・保険料表'!$D$8:$J$57,6,FALSE)+ROUNDDOWN($O30*$X$7,0)))))))</f>
        <v>0</v>
      </c>
      <c r="S30" s="60">
        <f>IF($D$4="",0,IF($G30&lt;20,0,IF($Q$13="",0,IF($Q$13=2,0,IF($D$10&lt;$S$13,0,IF($P30&lt;$R$13,0,VLOOKUP($M30,'3-1.標準報酬月額・保険料表'!$D$8:$J$57,7,FALSE)+ROUNDDOWN($O30*$Y$7,0)))))))</f>
        <v>0</v>
      </c>
      <c r="T30" s="76">
        <f t="shared" si="19"/>
        <v>0</v>
      </c>
      <c r="U30" s="81">
        <f>IF($D$4="",0,IF($U$13="",0,IF($U$13=1,0,IF($G30&lt;$W$13,0,IF($K30&lt;$V$13,0,IF($M30&lt;=620000,VLOOKUP($M30,'3-1.標準報酬月額・保険料表'!$D$8:$L$42,9,FALSE),'3-1.標準報酬月額・保険料表'!$L$42)+ROUNDDOWN($O30*$AA$7,0))))))</f>
        <v>14640</v>
      </c>
      <c r="V30" s="82">
        <f>IF($D$4="",0,IF($U$13="",0,IF($U$13=1,0,IF($G30&lt;$W$13,0,IF($K30&lt;$V$13,0,IF($D$10&gt;=$X$13,0,VLOOKUP($M30,'3-1.標準報酬月額・保険料表'!$D$8:$J$57,6,FALSE)+ROUNDDOWN($O30*$X$7,0)))))))</f>
        <v>8232</v>
      </c>
      <c r="W30" s="82">
        <f>IF($D$4="",0,IF($U$13="",0,IF($U$13=1,0,IF($G30&lt;$W$13,0,IF($K30&lt;$V$13,0,IF($D$10&lt;$X$13,0,VLOOKUP($M30,'3-1.標準報酬月額・保険料表'!$D$8:$J$57,7,FALSE)+ROUNDDOWN($O30*$Y$7,0)))))))</f>
        <v>0</v>
      </c>
      <c r="X30" s="83">
        <f t="shared" si="20"/>
        <v>22872</v>
      </c>
      <c r="Y30" s="144">
        <f t="shared" si="1"/>
        <v>0</v>
      </c>
      <c r="Z30" s="144">
        <f>IF($D$4="",0,IF($U$13="",0,IF($U$13=1,0,IF(AND($K30&gt;=$V$13,$G30&lt;$W$13),'3-3.国民健康保険料簡易計算'!$Q25,0))))</f>
        <v>0</v>
      </c>
      <c r="AA30" s="144">
        <f t="shared" si="28"/>
        <v>0</v>
      </c>
      <c r="AB30" s="73">
        <f t="shared" si="2"/>
        <v>11532</v>
      </c>
      <c r="AC30" s="78">
        <f t="shared" si="3"/>
        <v>285996</v>
      </c>
      <c r="AD30" s="162">
        <f>IF($D$4="","",VLOOKUP($K30,'3-2.所得算出参照表'!K$5:L$10,2,TRUE))</f>
        <v>3600000</v>
      </c>
      <c r="AE30" s="163">
        <f>IF($AD30="",0,IF($AD30='3-2.所得算出参照表'!$B$5,'3-2.所得算出参照表'!$E$5,IF('4-1.労働時間延長メニューメイン-1'!$AD30='3-2.所得算出参照表'!$B$6,'4-1.労働時間延長メニューメイン-1'!$K30*'3-2.所得算出参照表'!$E$6+'3-2.所得算出参照表'!$G$6,IF('4-1.労働時間延長メニューメイン-1'!$AD30='3-2.所得算出参照表'!$B$7,'4-1.労働時間延長メニューメイン-1'!$K30*'3-2.所得算出参照表'!$E$7+'3-2.所得算出参照表'!$G$7,IF('4-1.労働時間延長メニューメイン-1'!$AD30='3-2.所得算出参照表'!$B$8,'4-1.労働時間延長メニューメイン-1'!$K30*'3-2.所得算出参照表'!$E$8+'3-2.所得算出参照表'!$G$8,IF('4-1.労働時間延長メニューメイン-1'!$AD30='3-2.所得算出参照表'!$B$9,'4-1.労働時間延長メニューメイン-1'!$K30*'3-2.所得算出参照表'!$E$9+'3-2.所得算出参照表'!$G$9,IF($AD30='3-2.所得算出参照表'!$B$10,'3-2.所得算出参照表'!$G$10)))))))</f>
        <v>656600</v>
      </c>
      <c r="AF30" s="123">
        <f t="shared" si="4"/>
        <v>480000</v>
      </c>
      <c r="AG30" s="118">
        <f t="shared" si="21"/>
        <v>499000</v>
      </c>
      <c r="AH30" s="165">
        <f>VLOOKUP($AG30,'3-2.所得算出参照表'!$N$4:$O$11,2,TRUE)</f>
        <v>0.05</v>
      </c>
      <c r="AI30" s="118">
        <f>VLOOKUP($AG30,'3-2.所得算出参照表'!$P$4:$Q$11,2,TRUE)</f>
        <v>0</v>
      </c>
      <c r="AJ30" s="118">
        <f t="shared" si="29"/>
        <v>24950</v>
      </c>
      <c r="AK30" s="118">
        <f>$AJ30*'3-2.所得算出参照表'!$D$14</f>
        <v>523.95000000000005</v>
      </c>
      <c r="AL30" s="132">
        <f t="shared" si="30"/>
        <v>25400</v>
      </c>
      <c r="AM30" s="140">
        <f>IF($AD30="",0,IF($AD30='3-2.所得算出参照表'!$B$5,'3-2.所得算出参照表'!$E$5,IF('4-1.労働時間延長メニューメイン-1'!$AD30='3-2.所得算出参照表'!$B$6,'4-1.労働時間延長メニューメイン-1'!$K30*'3-2.所得算出参照表'!$E$6+'3-2.所得算出参照表'!$G$6,IF('4-1.労働時間延長メニューメイン-1'!$AD30='3-2.所得算出参照表'!$B$7,'4-1.労働時間延長メニューメイン-1'!$K30*'3-2.所得算出参照表'!$E$7+'3-2.所得算出参照表'!$G$7,IF('4-1.労働時間延長メニューメイン-1'!$AD30='3-2.所得算出参照表'!$B$8,'4-1.労働時間延長メニューメイン-1'!$K30*'3-2.所得算出参照表'!$E$8+'3-2.所得算出参照表'!$G$8,IF('4-1.労働時間延長メニューメイン-1'!$AD30='3-2.所得算出参照表'!$B$9,'4-1.労働時間延長メニューメイン-1'!$K30*'3-2.所得算出参照表'!$E$9+'3-2.所得算出参照表'!$G$9,IF($AD30='3-2.所得算出参照表'!$B$10,'3-2.所得算出参照表'!$G$10)))))))</f>
        <v>656600</v>
      </c>
      <c r="AN30" s="82">
        <f t="shared" si="5"/>
        <v>430000</v>
      </c>
      <c r="AO30" s="128">
        <f t="shared" si="6"/>
        <v>549000</v>
      </c>
      <c r="AP30" s="128">
        <f t="shared" si="7"/>
        <v>5500</v>
      </c>
      <c r="AQ30" s="129">
        <f t="shared" si="8"/>
        <v>0.1</v>
      </c>
      <c r="AR30" s="136">
        <f t="shared" si="24"/>
        <v>57900</v>
      </c>
      <c r="AS30" s="155">
        <f t="shared" si="9"/>
        <v>1552704</v>
      </c>
    </row>
    <row r="31" spans="2:45" ht="21.95" customHeight="1" x14ac:dyDescent="0.15">
      <c r="B31" s="111">
        <v>17</v>
      </c>
      <c r="C31" s="612">
        <f t="shared" si="25"/>
        <v>1040</v>
      </c>
      <c r="D31" s="619">
        <f t="shared" si="10"/>
        <v>0</v>
      </c>
      <c r="E31" s="615">
        <f t="shared" si="11"/>
        <v>1040</v>
      </c>
      <c r="F31" s="614">
        <f t="shared" si="26"/>
        <v>16</v>
      </c>
      <c r="G31" s="94">
        <f t="shared" si="27"/>
        <v>36</v>
      </c>
      <c r="H31" s="211">
        <f t="shared" si="12"/>
        <v>1877.1428571428571</v>
      </c>
      <c r="I31" s="107">
        <f t="shared" si="13"/>
        <v>162685.71428571429</v>
      </c>
      <c r="J31" s="101">
        <f t="shared" si="14"/>
        <v>164685.71428571429</v>
      </c>
      <c r="K31" s="108">
        <f t="shared" si="15"/>
        <v>1976228.5714285714</v>
      </c>
      <c r="L31" s="103">
        <f t="shared" si="16"/>
        <v>166685.71428571429</v>
      </c>
      <c r="M31" s="104">
        <f>IF($D$4="",0,IF($L31=0,0,VLOOKUP($L31,'3-1.標準報酬月額・保険料表'!$N$8:$O$57,2,TRUE)))</f>
        <v>170000</v>
      </c>
      <c r="N31" s="200">
        <f t="shared" si="17"/>
        <v>0</v>
      </c>
      <c r="O31" s="104">
        <f t="shared" si="0"/>
        <v>0</v>
      </c>
      <c r="P31" s="200">
        <f t="shared" si="18"/>
        <v>162685.71428571429</v>
      </c>
      <c r="Q31" s="71">
        <f>IF($D$4="",0,IF($G31&lt;20,0,IF($Q$13="",0,IF($Q$13=2,0,IF($P31&lt;$R$13,0,IF($M31&lt;=620000,VLOOKUP($M31,'3-1.標準報酬月額・保険料表'!$D$8:$L$42,9,FALSE),'3-1.標準報酬月額・保険料表'!$L$42)+ROUNDDOWN($O31*$AA$7,0))))))</f>
        <v>0</v>
      </c>
      <c r="R31" s="60">
        <f>IF($D$4="",0,IF($G31&lt;20,0,IF($O$9="",0,IF($Q$13=2,0,IF($D$10&gt;=$S$13,0,IF($P31&lt;$R$13,0,VLOOKUP($M31,'3-1.標準報酬月額・保険料表'!$D$8:$J$57,6,FALSE)+ROUNDDOWN($O31*$X$7,0)))))))</f>
        <v>0</v>
      </c>
      <c r="S31" s="60">
        <f>IF($D$4="",0,IF($G31&lt;20,0,IF($Q$13="",0,IF($Q$13=2,0,IF($D$10&lt;$S$13,0,IF($P31&lt;$R$13,0,VLOOKUP($M31,'3-1.標準報酬月額・保険料表'!$D$8:$J$57,7,FALSE)+ROUNDDOWN($O31*$Y$7,0)))))))</f>
        <v>0</v>
      </c>
      <c r="T31" s="76">
        <f t="shared" si="19"/>
        <v>0</v>
      </c>
      <c r="U31" s="81">
        <f>IF($D$4="",0,IF($U$13="",0,IF($U$13=1,0,IF($G31&lt;$W$13,0,IF($K31&lt;$V$13,0,IF($M31&lt;=620000,VLOOKUP($M31,'3-1.標準報酬月額・保険料表'!$D$8:$L$42,9,FALSE),'3-1.標準報酬月額・保険料表'!$L$42)+ROUNDDOWN($O31*$AA$7,0))))))</f>
        <v>15555</v>
      </c>
      <c r="V31" s="82">
        <f>IF($D$4="",0,IF($U$13="",0,IF($U$13=1,0,IF($G31&lt;$W$13,0,IF($K31&lt;$V$13,0,IF($D$10&gt;=$X$13,0,VLOOKUP($M31,'3-1.標準報酬月額・保険料表'!$D$8:$J$57,6,FALSE)+ROUNDDOWN($O31*$X$7,0)))))))</f>
        <v>8746.5</v>
      </c>
      <c r="W31" s="82">
        <f>IF($D$4="",0,IF($U$13="",0,IF($U$13=1,0,IF($G31&lt;$W$13,0,IF($K31&lt;$V$13,0,IF($D$10&lt;$X$13,0,VLOOKUP($M31,'3-1.標準報酬月額・保険料表'!$D$8:$J$57,7,FALSE)+ROUNDDOWN($O31*$Y$7,0)))))))</f>
        <v>0</v>
      </c>
      <c r="X31" s="83">
        <f t="shared" si="20"/>
        <v>24301.5</v>
      </c>
      <c r="Y31" s="144">
        <f t="shared" si="1"/>
        <v>0</v>
      </c>
      <c r="Z31" s="144">
        <f>IF($D$4="",0,IF($U$13="",0,IF($U$13=1,0,IF(AND($K31&gt;=$V$13,$G31&lt;$W$13),'3-3.国民健康保険料簡易計算'!$Q26,0))))</f>
        <v>0</v>
      </c>
      <c r="AA31" s="144">
        <f t="shared" si="28"/>
        <v>0</v>
      </c>
      <c r="AB31" s="73">
        <f t="shared" si="2"/>
        <v>11857.371428571429</v>
      </c>
      <c r="AC31" s="78">
        <f t="shared" si="3"/>
        <v>303475.37142857141</v>
      </c>
      <c r="AD31" s="162">
        <f>IF($D$4="","",VLOOKUP($K31,'3-2.所得算出参照表'!K$5:L$10,2,TRUE))</f>
        <v>3600000</v>
      </c>
      <c r="AE31" s="163">
        <f>IF($AD31="",0,IF($AD31='3-2.所得算出参照表'!$B$5,'3-2.所得算出参照表'!$E$5,IF('4-1.労働時間延長メニューメイン-1'!$AD31='3-2.所得算出参照表'!$B$6,'4-1.労働時間延長メニューメイン-1'!$K31*'3-2.所得算出参照表'!$E$6+'3-2.所得算出参照表'!$G$6,IF('4-1.労働時間延長メニューメイン-1'!$AD31='3-2.所得算出参照表'!$B$7,'4-1.労働時間延長メニューメイン-1'!$K31*'3-2.所得算出参照表'!$E$7+'3-2.所得算出参照表'!$G$7,IF('4-1.労働時間延長メニューメイン-1'!$AD31='3-2.所得算出参照表'!$B$8,'4-1.労働時間延長メニューメイン-1'!$K31*'3-2.所得算出参照表'!$E$8+'3-2.所得算出参照表'!$G$8,IF('4-1.労働時間延長メニューメイン-1'!$AD31='3-2.所得算出参照表'!$B$9,'4-1.労働時間延長メニューメイン-1'!$K31*'3-2.所得算出参照表'!$E$9+'3-2.所得算出参照表'!$G$9,IF($AD31='3-2.所得算出参照表'!$B$10,'3-2.所得算出参照表'!$G$10)))))))</f>
        <v>672868.57142857136</v>
      </c>
      <c r="AF31" s="123">
        <f t="shared" si="4"/>
        <v>480000</v>
      </c>
      <c r="AG31" s="118">
        <f t="shared" si="21"/>
        <v>519000</v>
      </c>
      <c r="AH31" s="165">
        <f>VLOOKUP($AG31,'3-2.所得算出参照表'!$N$4:$O$11,2,TRUE)</f>
        <v>0.05</v>
      </c>
      <c r="AI31" s="118">
        <f>VLOOKUP($AG31,'3-2.所得算出参照表'!$P$4:$Q$11,2,TRUE)</f>
        <v>0</v>
      </c>
      <c r="AJ31" s="118">
        <f t="shared" si="29"/>
        <v>25950</v>
      </c>
      <c r="AK31" s="118">
        <f>$AJ31*'3-2.所得算出参照表'!$D$14</f>
        <v>544.95000000000005</v>
      </c>
      <c r="AL31" s="132">
        <f t="shared" si="30"/>
        <v>26400</v>
      </c>
      <c r="AM31" s="140">
        <f>IF($AD31="",0,IF($AD31='3-2.所得算出参照表'!$B$5,'3-2.所得算出参照表'!$E$5,IF('4-1.労働時間延長メニューメイン-1'!$AD31='3-2.所得算出参照表'!$B$6,'4-1.労働時間延長メニューメイン-1'!$K31*'3-2.所得算出参照表'!$E$6+'3-2.所得算出参照表'!$G$6,IF('4-1.労働時間延長メニューメイン-1'!$AD31='3-2.所得算出参照表'!$B$7,'4-1.労働時間延長メニューメイン-1'!$K31*'3-2.所得算出参照表'!$E$7+'3-2.所得算出参照表'!$G$7,IF('4-1.労働時間延長メニューメイン-1'!$AD31='3-2.所得算出参照表'!$B$8,'4-1.労働時間延長メニューメイン-1'!$K31*'3-2.所得算出参照表'!$E$8+'3-2.所得算出参照表'!$G$8,IF('4-1.労働時間延長メニューメイン-1'!$AD31='3-2.所得算出参照表'!$B$9,'4-1.労働時間延長メニューメイン-1'!$K31*'3-2.所得算出参照表'!$E$9+'3-2.所得算出参照表'!$G$9,IF($AD31='3-2.所得算出参照表'!$B$10,'3-2.所得算出参照表'!$G$10)))))))</f>
        <v>672868.57142857136</v>
      </c>
      <c r="AN31" s="82">
        <f t="shared" si="5"/>
        <v>430000</v>
      </c>
      <c r="AO31" s="128">
        <f t="shared" si="6"/>
        <v>569000</v>
      </c>
      <c r="AP31" s="128">
        <f t="shared" si="7"/>
        <v>5500</v>
      </c>
      <c r="AQ31" s="129">
        <f t="shared" si="8"/>
        <v>0.1</v>
      </c>
      <c r="AR31" s="136">
        <f t="shared" si="24"/>
        <v>59900</v>
      </c>
      <c r="AS31" s="155">
        <f t="shared" si="9"/>
        <v>1586453.2</v>
      </c>
    </row>
    <row r="32" spans="2:45" ht="21.95" customHeight="1" x14ac:dyDescent="0.15">
      <c r="B32" s="111">
        <v>18</v>
      </c>
      <c r="C32" s="612">
        <f t="shared" si="25"/>
        <v>1040</v>
      </c>
      <c r="D32" s="619">
        <f t="shared" si="10"/>
        <v>0</v>
      </c>
      <c r="E32" s="615">
        <f t="shared" si="11"/>
        <v>1040</v>
      </c>
      <c r="F32" s="614">
        <f t="shared" si="26"/>
        <v>17</v>
      </c>
      <c r="G32" s="94">
        <f t="shared" si="27"/>
        <v>37</v>
      </c>
      <c r="H32" s="211">
        <f t="shared" si="12"/>
        <v>1929.2857142857142</v>
      </c>
      <c r="I32" s="107">
        <f t="shared" si="13"/>
        <v>167204.76190476189</v>
      </c>
      <c r="J32" s="101">
        <f t="shared" si="14"/>
        <v>169204.76190476189</v>
      </c>
      <c r="K32" s="108">
        <f t="shared" si="15"/>
        <v>2030457.1428571427</v>
      </c>
      <c r="L32" s="103">
        <f t="shared" si="16"/>
        <v>171204.76190476189</v>
      </c>
      <c r="M32" s="104">
        <f>IF($D$4="",0,IF($L32=0,0,VLOOKUP($L32,'3-1.標準報酬月額・保険料表'!$N$8:$O$57,2,TRUE)))</f>
        <v>170000</v>
      </c>
      <c r="N32" s="200">
        <f t="shared" si="17"/>
        <v>0</v>
      </c>
      <c r="O32" s="104">
        <f t="shared" si="0"/>
        <v>0</v>
      </c>
      <c r="P32" s="200">
        <f t="shared" si="18"/>
        <v>167204.76190476189</v>
      </c>
      <c r="Q32" s="71">
        <f>IF($D$4="",0,IF($G32&lt;20,0,IF($Q$13="",0,IF($Q$13=2,0,IF($P32&lt;$R$13,0,IF($M32&lt;=620000,VLOOKUP($M32,'3-1.標準報酬月額・保険料表'!$D$8:$L$42,9,FALSE),'3-1.標準報酬月額・保険料表'!$L$42)+ROUNDDOWN($O32*$AA$7,0))))))</f>
        <v>0</v>
      </c>
      <c r="R32" s="60">
        <f>IF($D$4="",0,IF($G32&lt;20,0,IF($O$9="",0,IF($Q$13=2,0,IF($D$10&gt;=$S$13,0,IF($P32&lt;$R$13,0,VLOOKUP($M32,'3-1.標準報酬月額・保険料表'!$D$8:$J$57,6,FALSE)+ROUNDDOWN($O32*$X$7,0)))))))</f>
        <v>0</v>
      </c>
      <c r="S32" s="60">
        <f>IF($D$4="",0,IF($G32&lt;20,0,IF($Q$13="",0,IF($Q$13=2,0,IF($D$10&lt;$S$13,0,IF($P32&lt;$R$13,0,VLOOKUP($M32,'3-1.標準報酬月額・保険料表'!$D$8:$J$57,7,FALSE)+ROUNDDOWN($O32*$Y$7,0)))))))</f>
        <v>0</v>
      </c>
      <c r="T32" s="76">
        <f t="shared" si="19"/>
        <v>0</v>
      </c>
      <c r="U32" s="81">
        <f>IF($D$4="",0,IF($U$13="",0,IF($U$13=1,0,IF($G32&lt;$W$13,0,IF($K32&lt;$V$13,0,IF($M32&lt;=620000,VLOOKUP($M32,'3-1.標準報酬月額・保険料表'!$D$8:$L$42,9,FALSE),'3-1.標準報酬月額・保険料表'!$L$42)+ROUNDDOWN($O32*$AA$7,0))))))</f>
        <v>15555</v>
      </c>
      <c r="V32" s="82">
        <f>IF($D$4="",0,IF($U$13="",0,IF($U$13=1,0,IF($G32&lt;$W$13,0,IF($K32&lt;$V$13,0,IF($D$10&gt;=$X$13,0,VLOOKUP($M32,'3-1.標準報酬月額・保険料表'!$D$8:$J$57,6,FALSE)+ROUNDDOWN($O32*$X$7,0)))))))</f>
        <v>8746.5</v>
      </c>
      <c r="W32" s="82">
        <f>IF($D$4="",0,IF($U$13="",0,IF($U$13=1,0,IF($G32&lt;$W$13,0,IF($K32&lt;$V$13,0,IF($D$10&lt;$X$13,0,VLOOKUP($M32,'3-1.標準報酬月額・保険料表'!$D$8:$J$57,7,FALSE)+ROUNDDOWN($O32*$Y$7,0)))))))</f>
        <v>0</v>
      </c>
      <c r="X32" s="83">
        <f t="shared" si="20"/>
        <v>24301.5</v>
      </c>
      <c r="Y32" s="144">
        <f t="shared" si="1"/>
        <v>0</v>
      </c>
      <c r="Z32" s="144">
        <f>IF($D$4="",0,IF($U$13="",0,IF($U$13=1,0,IF(AND($K32&gt;=$V$13,$G32&lt;$W$13),'3-3.国民健康保険料簡易計算'!$Q27,0))))</f>
        <v>0</v>
      </c>
      <c r="AA32" s="144">
        <f t="shared" si="28"/>
        <v>0</v>
      </c>
      <c r="AB32" s="73">
        <f t="shared" si="2"/>
        <v>12182.742857142857</v>
      </c>
      <c r="AC32" s="78">
        <f t="shared" si="3"/>
        <v>303800.74285714288</v>
      </c>
      <c r="AD32" s="162">
        <f>IF($D$4="","",VLOOKUP($K32,'3-2.所得算出参照表'!K$5:L$10,2,TRUE))</f>
        <v>3600000</v>
      </c>
      <c r="AE32" s="163">
        <f>IF($AD32="",0,IF($AD32='3-2.所得算出参照表'!$B$5,'3-2.所得算出参照表'!$E$5,IF('4-1.労働時間延長メニューメイン-1'!$AD32='3-2.所得算出参照表'!$B$6,'4-1.労働時間延長メニューメイン-1'!$K32*'3-2.所得算出参照表'!$E$6+'3-2.所得算出参照表'!$G$6,IF('4-1.労働時間延長メニューメイン-1'!$AD32='3-2.所得算出参照表'!$B$7,'4-1.労働時間延長メニューメイン-1'!$K32*'3-2.所得算出参照表'!$E$7+'3-2.所得算出参照表'!$G$7,IF('4-1.労働時間延長メニューメイン-1'!$AD32='3-2.所得算出参照表'!$B$8,'4-1.労働時間延長メニューメイン-1'!$K32*'3-2.所得算出参照表'!$E$8+'3-2.所得算出参照表'!$G$8,IF('4-1.労働時間延長メニューメイン-1'!$AD32='3-2.所得算出参照表'!$B$9,'4-1.労働時間延長メニューメイン-1'!$K32*'3-2.所得算出参照表'!$E$9+'3-2.所得算出参照表'!$G$9,IF($AD32='3-2.所得算出参照表'!$B$10,'3-2.所得算出参照表'!$G$10)))))))</f>
        <v>689137.14285714284</v>
      </c>
      <c r="AF32" s="123">
        <f t="shared" si="4"/>
        <v>480000</v>
      </c>
      <c r="AG32" s="118">
        <f t="shared" si="21"/>
        <v>557000</v>
      </c>
      <c r="AH32" s="165">
        <f>VLOOKUP($AG32,'3-2.所得算出参照表'!$N$4:$O$11,2,TRUE)</f>
        <v>0.05</v>
      </c>
      <c r="AI32" s="118">
        <f>VLOOKUP($AG32,'3-2.所得算出参照表'!$P$4:$Q$11,2,TRUE)</f>
        <v>0</v>
      </c>
      <c r="AJ32" s="118">
        <f t="shared" si="29"/>
        <v>27850</v>
      </c>
      <c r="AK32" s="118">
        <f>$AJ32*'3-2.所得算出参照表'!$D$14</f>
        <v>584.85</v>
      </c>
      <c r="AL32" s="132">
        <f t="shared" si="30"/>
        <v>28400</v>
      </c>
      <c r="AM32" s="140">
        <f>IF($AD32="",0,IF($AD32='3-2.所得算出参照表'!$B$5,'3-2.所得算出参照表'!$E$5,IF('4-1.労働時間延長メニューメイン-1'!$AD32='3-2.所得算出参照表'!$B$6,'4-1.労働時間延長メニューメイン-1'!$K32*'3-2.所得算出参照表'!$E$6+'3-2.所得算出参照表'!$G$6,IF('4-1.労働時間延長メニューメイン-1'!$AD32='3-2.所得算出参照表'!$B$7,'4-1.労働時間延長メニューメイン-1'!$K32*'3-2.所得算出参照表'!$E$7+'3-2.所得算出参照表'!$G$7,IF('4-1.労働時間延長メニューメイン-1'!$AD32='3-2.所得算出参照表'!$B$8,'4-1.労働時間延長メニューメイン-1'!$K32*'3-2.所得算出参照表'!$E$8+'3-2.所得算出参照表'!$G$8,IF('4-1.労働時間延長メニューメイン-1'!$AD32='3-2.所得算出参照表'!$B$9,'4-1.労働時間延長メニューメイン-1'!$K32*'3-2.所得算出参照表'!$E$9+'3-2.所得算出参照表'!$G$9,IF($AD32='3-2.所得算出参照表'!$B$10,'3-2.所得算出参照表'!$G$10)))))))</f>
        <v>689137.14285714284</v>
      </c>
      <c r="AN32" s="82">
        <f t="shared" si="5"/>
        <v>430000</v>
      </c>
      <c r="AO32" s="128">
        <f t="shared" si="6"/>
        <v>607000</v>
      </c>
      <c r="AP32" s="128">
        <f t="shared" si="7"/>
        <v>5500</v>
      </c>
      <c r="AQ32" s="129">
        <f t="shared" si="8"/>
        <v>0.1</v>
      </c>
      <c r="AR32" s="136">
        <f t="shared" si="24"/>
        <v>63700</v>
      </c>
      <c r="AS32" s="155">
        <f t="shared" si="9"/>
        <v>1634556.4</v>
      </c>
    </row>
    <row r="33" spans="2:45" ht="21.95" customHeight="1" x14ac:dyDescent="0.15">
      <c r="B33" s="111">
        <v>19</v>
      </c>
      <c r="C33" s="612">
        <f t="shared" si="25"/>
        <v>1040</v>
      </c>
      <c r="D33" s="619">
        <f t="shared" si="10"/>
        <v>0</v>
      </c>
      <c r="E33" s="615">
        <f t="shared" si="11"/>
        <v>1040</v>
      </c>
      <c r="F33" s="614">
        <f t="shared" si="26"/>
        <v>18</v>
      </c>
      <c r="G33" s="94">
        <f t="shared" si="27"/>
        <v>38</v>
      </c>
      <c r="H33" s="211">
        <f t="shared" si="12"/>
        <v>1981.4285714285713</v>
      </c>
      <c r="I33" s="107">
        <f t="shared" si="13"/>
        <v>171723.8095238095</v>
      </c>
      <c r="J33" s="101">
        <f t="shared" si="14"/>
        <v>173723.8095238095</v>
      </c>
      <c r="K33" s="108">
        <f t="shared" si="15"/>
        <v>2084685.7142857141</v>
      </c>
      <c r="L33" s="103">
        <f t="shared" si="16"/>
        <v>175723.8095238095</v>
      </c>
      <c r="M33" s="104">
        <f>IF($D$4="",0,IF($L33=0,0,VLOOKUP($L33,'3-1.標準報酬月額・保険料表'!$N$8:$O$57,2,TRUE)))</f>
        <v>180000</v>
      </c>
      <c r="N33" s="200">
        <f t="shared" si="17"/>
        <v>0</v>
      </c>
      <c r="O33" s="104">
        <f t="shared" si="0"/>
        <v>0</v>
      </c>
      <c r="P33" s="200">
        <f t="shared" si="18"/>
        <v>171723.8095238095</v>
      </c>
      <c r="Q33" s="71">
        <f>IF($D$4="",0,IF($G33&lt;20,0,IF($Q$13="",0,IF($Q$13=2,0,IF($P33&lt;$R$13,0,IF($M33&lt;=620000,VLOOKUP($M33,'3-1.標準報酬月額・保険料表'!$D$8:$L$42,9,FALSE),'3-1.標準報酬月額・保険料表'!$L$42)+ROUNDDOWN($O33*$AA$7,0))))))</f>
        <v>0</v>
      </c>
      <c r="R33" s="60">
        <f>IF($D$4="",0,IF($G33&lt;20,0,IF($O$9="",0,IF($Q$13=2,0,IF($D$10&gt;=$S$13,0,IF($P33&lt;$R$13,0,VLOOKUP($M33,'3-1.標準報酬月額・保険料表'!$D$8:$J$57,6,FALSE)+ROUNDDOWN($O33*$X$7,0)))))))</f>
        <v>0</v>
      </c>
      <c r="S33" s="60">
        <f>IF($D$4="",0,IF($G33&lt;20,0,IF($Q$13="",0,IF($Q$13=2,0,IF($D$10&lt;$S$13,0,IF($P33&lt;$R$13,0,VLOOKUP($M33,'3-1.標準報酬月額・保険料表'!$D$8:$J$57,7,FALSE)+ROUNDDOWN($O33*$Y$7,0)))))))</f>
        <v>0</v>
      </c>
      <c r="T33" s="76">
        <f t="shared" si="19"/>
        <v>0</v>
      </c>
      <c r="U33" s="81">
        <f>IF($D$4="",0,IF($U$13="",0,IF($U$13=1,0,IF($G33&lt;$W$13,0,IF($K33&lt;$V$13,0,IF($M33&lt;=620000,VLOOKUP($M33,'3-1.標準報酬月額・保険料表'!$D$8:$L$42,9,FALSE),'3-1.標準報酬月額・保険料表'!$L$42)+ROUNDDOWN($O33*$AA$7,0))))))</f>
        <v>16470</v>
      </c>
      <c r="V33" s="82">
        <f>IF($D$4="",0,IF($U$13="",0,IF($U$13=1,0,IF($G33&lt;$W$13,0,IF($K33&lt;$V$13,0,IF($D$10&gt;=$X$13,0,VLOOKUP($M33,'3-1.標準報酬月額・保険料表'!$D$8:$J$57,6,FALSE)+ROUNDDOWN($O33*$X$7,0)))))))</f>
        <v>9261</v>
      </c>
      <c r="W33" s="82">
        <f>IF($D$4="",0,IF($U$13="",0,IF($U$13=1,0,IF($G33&lt;$W$13,0,IF($K33&lt;$V$13,0,IF($D$10&lt;$X$13,0,VLOOKUP($M33,'3-1.標準報酬月額・保険料表'!$D$8:$J$57,7,FALSE)+ROUNDDOWN($O33*$Y$7,0)))))))</f>
        <v>0</v>
      </c>
      <c r="X33" s="83">
        <f t="shared" si="20"/>
        <v>25731</v>
      </c>
      <c r="Y33" s="144">
        <f t="shared" si="1"/>
        <v>0</v>
      </c>
      <c r="Z33" s="144">
        <f>IF($D$4="",0,IF($U$13="",0,IF($U$13=1,0,IF(AND($K33&gt;=$V$13,$G33&lt;$W$13),'3-3.国民健康保険料簡易計算'!$Q28,0))))</f>
        <v>0</v>
      </c>
      <c r="AA33" s="144">
        <f t="shared" si="28"/>
        <v>0</v>
      </c>
      <c r="AB33" s="73">
        <f t="shared" si="2"/>
        <v>12508.114285714284</v>
      </c>
      <c r="AC33" s="78">
        <f t="shared" si="3"/>
        <v>321280.11428571428</v>
      </c>
      <c r="AD33" s="162">
        <f>IF($D$4="","",VLOOKUP($K33,'3-2.所得算出参照表'!K$5:L$10,2,TRUE))</f>
        <v>3600000</v>
      </c>
      <c r="AE33" s="163">
        <f>IF($AD33="",0,IF($AD33='3-2.所得算出参照表'!$B$5,'3-2.所得算出参照表'!$E$5,IF('4-1.労働時間延長メニューメイン-1'!$AD33='3-2.所得算出参照表'!$B$6,'4-1.労働時間延長メニューメイン-1'!$K33*'3-2.所得算出参照表'!$E$6+'3-2.所得算出参照表'!$G$6,IF('4-1.労働時間延長メニューメイン-1'!$AD33='3-2.所得算出参照表'!$B$7,'4-1.労働時間延長メニューメイン-1'!$K33*'3-2.所得算出参照表'!$E$7+'3-2.所得算出参照表'!$G$7,IF('4-1.労働時間延長メニューメイン-1'!$AD33='3-2.所得算出参照表'!$B$8,'4-1.労働時間延長メニューメイン-1'!$K33*'3-2.所得算出参照表'!$E$8+'3-2.所得算出参照表'!$G$8,IF('4-1.労働時間延長メニューメイン-1'!$AD33='3-2.所得算出参照表'!$B$9,'4-1.労働時間延長メニューメイン-1'!$K33*'3-2.所得算出参照表'!$E$9+'3-2.所得算出参照表'!$G$9,IF($AD33='3-2.所得算出参照表'!$B$10,'3-2.所得算出参照表'!$G$10)))))))</f>
        <v>705405.7142857142</v>
      </c>
      <c r="AF33" s="123">
        <f t="shared" si="4"/>
        <v>480000</v>
      </c>
      <c r="AG33" s="118">
        <f t="shared" si="21"/>
        <v>577000</v>
      </c>
      <c r="AH33" s="165">
        <f>VLOOKUP($AG33,'3-2.所得算出参照表'!$N$4:$O$11,2,TRUE)</f>
        <v>0.05</v>
      </c>
      <c r="AI33" s="118">
        <f>VLOOKUP($AG33,'3-2.所得算出参照表'!$P$4:$Q$11,2,TRUE)</f>
        <v>0</v>
      </c>
      <c r="AJ33" s="118">
        <f t="shared" si="29"/>
        <v>28850</v>
      </c>
      <c r="AK33" s="118">
        <f>$AJ33*'3-2.所得算出参照表'!$D$14</f>
        <v>605.85</v>
      </c>
      <c r="AL33" s="132">
        <f t="shared" si="30"/>
        <v>29400</v>
      </c>
      <c r="AM33" s="140">
        <f>IF($AD33="",0,IF($AD33='3-2.所得算出参照表'!$B$5,'3-2.所得算出参照表'!$E$5,IF('4-1.労働時間延長メニューメイン-1'!$AD33='3-2.所得算出参照表'!$B$6,'4-1.労働時間延長メニューメイン-1'!$K33*'3-2.所得算出参照表'!$E$6+'3-2.所得算出参照表'!$G$6,IF('4-1.労働時間延長メニューメイン-1'!$AD33='3-2.所得算出参照表'!$B$7,'4-1.労働時間延長メニューメイン-1'!$K33*'3-2.所得算出参照表'!$E$7+'3-2.所得算出参照表'!$G$7,IF('4-1.労働時間延長メニューメイン-1'!$AD33='3-2.所得算出参照表'!$B$8,'4-1.労働時間延長メニューメイン-1'!$K33*'3-2.所得算出参照表'!$E$8+'3-2.所得算出参照表'!$G$8,IF('4-1.労働時間延長メニューメイン-1'!$AD33='3-2.所得算出参照表'!$B$9,'4-1.労働時間延長メニューメイン-1'!$K33*'3-2.所得算出参照表'!$E$9+'3-2.所得算出参照表'!$G$9,IF($AD33='3-2.所得算出参照表'!$B$10,'3-2.所得算出参照表'!$G$10)))))))</f>
        <v>705405.7142857142</v>
      </c>
      <c r="AN33" s="82">
        <f t="shared" si="5"/>
        <v>430000</v>
      </c>
      <c r="AO33" s="128">
        <f t="shared" si="6"/>
        <v>627000</v>
      </c>
      <c r="AP33" s="128">
        <f t="shared" si="7"/>
        <v>5500</v>
      </c>
      <c r="AQ33" s="129">
        <f t="shared" si="8"/>
        <v>0.1</v>
      </c>
      <c r="AR33" s="136">
        <f t="shared" si="24"/>
        <v>65700</v>
      </c>
      <c r="AS33" s="155">
        <f t="shared" si="9"/>
        <v>1668305.5999999999</v>
      </c>
    </row>
    <row r="34" spans="2:45" ht="21.95" customHeight="1" x14ac:dyDescent="0.15">
      <c r="B34" s="110">
        <v>20</v>
      </c>
      <c r="C34" s="612">
        <f t="shared" si="25"/>
        <v>1040</v>
      </c>
      <c r="D34" s="619">
        <f t="shared" si="10"/>
        <v>0</v>
      </c>
      <c r="E34" s="615">
        <f t="shared" si="11"/>
        <v>1040</v>
      </c>
      <c r="F34" s="614">
        <f t="shared" si="26"/>
        <v>19</v>
      </c>
      <c r="G34" s="94">
        <f t="shared" si="27"/>
        <v>39</v>
      </c>
      <c r="H34" s="211">
        <f t="shared" si="12"/>
        <v>2033.5714285714287</v>
      </c>
      <c r="I34" s="107">
        <f t="shared" si="13"/>
        <v>176242.85714285716</v>
      </c>
      <c r="J34" s="101">
        <f t="shared" si="14"/>
        <v>178242.85714285716</v>
      </c>
      <c r="K34" s="108">
        <f t="shared" si="15"/>
        <v>2138914.2857142859</v>
      </c>
      <c r="L34" s="103">
        <f t="shared" si="16"/>
        <v>180242.85714285716</v>
      </c>
      <c r="M34" s="104">
        <f>IF($D$4="",0,IF($L34=0,0,VLOOKUP($L34,'3-1.標準報酬月額・保険料表'!$N$8:$O$57,2,TRUE)))</f>
        <v>180000</v>
      </c>
      <c r="N34" s="200">
        <f t="shared" si="17"/>
        <v>0</v>
      </c>
      <c r="O34" s="104">
        <f t="shared" si="0"/>
        <v>0</v>
      </c>
      <c r="P34" s="200">
        <f t="shared" si="18"/>
        <v>176242.85714285716</v>
      </c>
      <c r="Q34" s="71">
        <f>IF($D$4="",0,IF($G34&lt;20,0,IF($Q$13="",0,IF($Q$13=2,0,IF($P34&lt;$R$13,0,IF($M34&lt;=620000,VLOOKUP($M34,'3-1.標準報酬月額・保険料表'!$D$8:$L$42,9,FALSE),'3-1.標準報酬月額・保険料表'!$L$42)+ROUNDDOWN($O34*$AA$7,0))))))</f>
        <v>0</v>
      </c>
      <c r="R34" s="60">
        <f>IF($D$4="",0,IF($G34&lt;20,0,IF($O$9="",0,IF($Q$13=2,0,IF($D$10&gt;=$S$13,0,IF($P34&lt;$R$13,0,VLOOKUP($M34,'3-1.標準報酬月額・保険料表'!$D$8:$J$57,6,FALSE)+ROUNDDOWN($O34*$X$7,0)))))))</f>
        <v>0</v>
      </c>
      <c r="S34" s="60">
        <f>IF($D$4="",0,IF($G34&lt;20,0,IF($Q$13="",0,IF($Q$13=2,0,IF($D$10&lt;$S$13,0,IF($P34&lt;$R$13,0,VLOOKUP($M34,'3-1.標準報酬月額・保険料表'!$D$8:$J$57,7,FALSE)+ROUNDDOWN($O34*$Y$7,0)))))))</f>
        <v>0</v>
      </c>
      <c r="T34" s="76">
        <f t="shared" si="19"/>
        <v>0</v>
      </c>
      <c r="U34" s="81">
        <f>IF($D$4="",0,IF($U$13="",0,IF($U$13=1,0,IF($G34&lt;$W$13,0,IF($K34&lt;$V$13,0,IF($M34&lt;=620000,VLOOKUP($M34,'3-1.標準報酬月額・保険料表'!$D$8:$L$42,9,FALSE),'3-1.標準報酬月額・保険料表'!$L$42)+ROUNDDOWN($O34*$AA$7,0))))))</f>
        <v>16470</v>
      </c>
      <c r="V34" s="82">
        <f>IF($D$4="",0,IF($U$13="",0,IF($U$13=1,0,IF($G34&lt;$W$13,0,IF($K34&lt;$V$13,0,IF($D$10&gt;=$X$13,0,VLOOKUP($M34,'3-1.標準報酬月額・保険料表'!$D$8:$J$57,6,FALSE)+ROUNDDOWN($O34*$X$7,0)))))))</f>
        <v>9261</v>
      </c>
      <c r="W34" s="82">
        <f>IF($D$4="",0,IF($U$13="",0,IF($U$13=1,0,IF($G34&lt;$W$13,0,IF($K34&lt;$V$13,0,IF($D$10&lt;$X$13,0,VLOOKUP($M34,'3-1.標準報酬月額・保険料表'!$D$8:$J$57,7,FALSE)+ROUNDDOWN($O34*$Y$7,0)))))))</f>
        <v>0</v>
      </c>
      <c r="X34" s="83">
        <f t="shared" si="20"/>
        <v>25731</v>
      </c>
      <c r="Y34" s="144">
        <f t="shared" si="1"/>
        <v>0</v>
      </c>
      <c r="Z34" s="144">
        <f>IF($D$4="",0,IF($U$13="",0,IF($U$13=1,0,IF(AND($K34&gt;=$V$13,$G34&lt;$W$13),'3-3.国民健康保険料簡易計算'!$Q29,0))))</f>
        <v>0</v>
      </c>
      <c r="AA34" s="144">
        <f t="shared" si="28"/>
        <v>0</v>
      </c>
      <c r="AB34" s="73">
        <f t="shared" si="2"/>
        <v>12833.485714285716</v>
      </c>
      <c r="AC34" s="78">
        <f t="shared" si="3"/>
        <v>321605.48571428569</v>
      </c>
      <c r="AD34" s="162">
        <f>IF($D$4="","",VLOOKUP($K34,'3-2.所得算出参照表'!K$5:L$10,2,TRUE))</f>
        <v>3600000</v>
      </c>
      <c r="AE34" s="163">
        <f>IF($AD34="",0,IF($AD34='3-2.所得算出参照表'!$B$5,'3-2.所得算出参照表'!$E$5,IF('4-1.労働時間延長メニューメイン-1'!$AD34='3-2.所得算出参照表'!$B$6,'4-1.労働時間延長メニューメイン-1'!$K34*'3-2.所得算出参照表'!$E$6+'3-2.所得算出参照表'!$G$6,IF('4-1.労働時間延長メニューメイン-1'!$AD34='3-2.所得算出参照表'!$B$7,'4-1.労働時間延長メニューメイン-1'!$K34*'3-2.所得算出参照表'!$E$7+'3-2.所得算出参照表'!$G$7,IF('4-1.労働時間延長メニューメイン-1'!$AD34='3-2.所得算出参照表'!$B$8,'4-1.労働時間延長メニューメイン-1'!$K34*'3-2.所得算出参照表'!$E$8+'3-2.所得算出参照表'!$G$8,IF('4-1.労働時間延長メニューメイン-1'!$AD34='3-2.所得算出参照表'!$B$9,'4-1.労働時間延長メニューメイン-1'!$K34*'3-2.所得算出参照表'!$E$9+'3-2.所得算出参照表'!$G$9,IF($AD34='3-2.所得算出参照表'!$B$10,'3-2.所得算出参照表'!$G$10)))))))</f>
        <v>721674.2857142858</v>
      </c>
      <c r="AF34" s="123">
        <f t="shared" si="4"/>
        <v>480000</v>
      </c>
      <c r="AG34" s="118">
        <f t="shared" si="21"/>
        <v>615000</v>
      </c>
      <c r="AH34" s="165">
        <f>VLOOKUP($AG34,'3-2.所得算出参照表'!$N$4:$O$11,2,TRUE)</f>
        <v>0.05</v>
      </c>
      <c r="AI34" s="118">
        <f>VLOOKUP($AG34,'3-2.所得算出参照表'!$P$4:$Q$11,2,TRUE)</f>
        <v>0</v>
      </c>
      <c r="AJ34" s="118">
        <f t="shared" si="29"/>
        <v>30750</v>
      </c>
      <c r="AK34" s="118">
        <f>$AJ34*'3-2.所得算出参照表'!$D$14</f>
        <v>645.75</v>
      </c>
      <c r="AL34" s="132">
        <f t="shared" si="30"/>
        <v>31300</v>
      </c>
      <c r="AM34" s="140">
        <f>IF($AD34="",0,IF($AD34='3-2.所得算出参照表'!$B$5,'3-2.所得算出参照表'!$E$5,IF('4-1.労働時間延長メニューメイン-1'!$AD34='3-2.所得算出参照表'!$B$6,'4-1.労働時間延長メニューメイン-1'!$K34*'3-2.所得算出参照表'!$E$6+'3-2.所得算出参照表'!$G$6,IF('4-1.労働時間延長メニューメイン-1'!$AD34='3-2.所得算出参照表'!$B$7,'4-1.労働時間延長メニューメイン-1'!$K34*'3-2.所得算出参照表'!$E$7+'3-2.所得算出参照表'!$G$7,IF('4-1.労働時間延長メニューメイン-1'!$AD34='3-2.所得算出参照表'!$B$8,'4-1.労働時間延長メニューメイン-1'!$K34*'3-2.所得算出参照表'!$E$8+'3-2.所得算出参照表'!$G$8,IF('4-1.労働時間延長メニューメイン-1'!$AD34='3-2.所得算出参照表'!$B$9,'4-1.労働時間延長メニューメイン-1'!$K34*'3-2.所得算出参照表'!$E$9+'3-2.所得算出参照表'!$G$9,IF($AD34='3-2.所得算出参照表'!$B$10,'3-2.所得算出参照表'!$G$10)))))))</f>
        <v>721674.2857142858</v>
      </c>
      <c r="AN34" s="82">
        <f t="shared" si="5"/>
        <v>430000</v>
      </c>
      <c r="AO34" s="128">
        <f t="shared" si="6"/>
        <v>665000</v>
      </c>
      <c r="AP34" s="128">
        <f t="shared" si="7"/>
        <v>5500</v>
      </c>
      <c r="AQ34" s="129">
        <f t="shared" si="8"/>
        <v>0.1</v>
      </c>
      <c r="AR34" s="136">
        <f t="shared" si="24"/>
        <v>69500</v>
      </c>
      <c r="AS34" s="155">
        <f t="shared" si="9"/>
        <v>1716508.8000000003</v>
      </c>
    </row>
    <row r="35" spans="2:45" ht="21.95" customHeight="1" x14ac:dyDescent="0.15">
      <c r="B35" s="111">
        <v>21</v>
      </c>
      <c r="C35" s="612" t="str">
        <f t="shared" si="25"/>
        <v/>
      </c>
      <c r="D35" s="619" t="str">
        <f t="shared" si="10"/>
        <v/>
      </c>
      <c r="E35" s="615" t="str">
        <f t="shared" si="11"/>
        <v/>
      </c>
      <c r="F35" s="614" t="str">
        <f t="shared" si="26"/>
        <v/>
      </c>
      <c r="G35" s="94" t="str">
        <f t="shared" si="27"/>
        <v/>
      </c>
      <c r="H35" s="211" t="str">
        <f t="shared" si="12"/>
        <v/>
      </c>
      <c r="I35" s="107">
        <f t="shared" si="13"/>
        <v>0</v>
      </c>
      <c r="J35" s="101">
        <f t="shared" si="14"/>
        <v>0</v>
      </c>
      <c r="K35" s="108">
        <f t="shared" si="15"/>
        <v>0</v>
      </c>
      <c r="L35" s="103">
        <f t="shared" si="16"/>
        <v>0</v>
      </c>
      <c r="M35" s="104">
        <f>IF($D$4="",0,IF($L35=0,0,VLOOKUP($L35,'3-1.標準報酬月額・保険料表'!$N$8:$O$57,2,TRUE)))</f>
        <v>0</v>
      </c>
      <c r="N35" s="200">
        <f t="shared" si="17"/>
        <v>0</v>
      </c>
      <c r="O35" s="104">
        <f t="shared" si="0"/>
        <v>0</v>
      </c>
      <c r="P35" s="200">
        <f t="shared" si="18"/>
        <v>0</v>
      </c>
      <c r="Q35" s="71">
        <f>IF($D$4="",0,IF($G35&lt;20,0,IF($Q$13="",0,IF($Q$13=2,0,IF($P35&lt;$R$13,0,IF($M35&lt;=620000,VLOOKUP($M35,'3-1.標準報酬月額・保険料表'!$D$8:$L$42,9,FALSE),'3-1.標準報酬月額・保険料表'!$L$42)+ROUNDDOWN($O35*$AA$7,0))))))</f>
        <v>0</v>
      </c>
      <c r="R35" s="60">
        <f>IF($D$4="",0,IF($G35&lt;20,0,IF($O$9="",0,IF($Q$13=2,0,IF($D$10&gt;=$S$13,0,IF($P35&lt;$R$13,0,VLOOKUP($M35,'3-1.標準報酬月額・保険料表'!$D$8:$J$57,6,FALSE)+ROUNDDOWN($O35*$X$7,0)))))))</f>
        <v>0</v>
      </c>
      <c r="S35" s="60">
        <f>IF($D$4="",0,IF($G35&lt;20,0,IF($Q$13="",0,IF($Q$13=2,0,IF($D$10&lt;$S$13,0,IF($P35&lt;$R$13,0,VLOOKUP($M35,'3-1.標準報酬月額・保険料表'!$D$8:$J$57,7,FALSE)+ROUNDDOWN($O35*$Y$7,0)))))))</f>
        <v>0</v>
      </c>
      <c r="T35" s="76">
        <f t="shared" si="19"/>
        <v>0</v>
      </c>
      <c r="U35" s="81">
        <f>IF($D$4="",0,IF($U$13="",0,IF($U$13=1,0,IF($G35&lt;$W$13,0,IF($K35&lt;$V$13,0,IF($M35&lt;=620000,VLOOKUP($M35,'3-1.標準報酬月額・保険料表'!$D$8:$L$42,9,FALSE),'3-1.標準報酬月額・保険料表'!$L$42)+ROUNDDOWN($O35*$AA$7,0))))))</f>
        <v>0</v>
      </c>
      <c r="V35" s="82">
        <f>IF($D$4="",0,IF($U$13="",0,IF($U$13=1,0,IF($G35&lt;$W$13,0,IF($K35&lt;$V$13,0,IF($D$10&gt;=$X$13,0,VLOOKUP($M35,'3-1.標準報酬月額・保険料表'!$D$8:$J$57,6,FALSE)+ROUNDDOWN($O35*$X$7,0)))))))</f>
        <v>0</v>
      </c>
      <c r="W35" s="82">
        <f>IF($D$4="",0,IF($U$13="",0,IF($U$13=1,0,IF($G35&lt;$W$13,0,IF($K35&lt;$V$13,0,IF($D$10&lt;$X$13,0,VLOOKUP($M35,'3-1.標準報酬月額・保険料表'!$D$8:$J$57,7,FALSE)+ROUNDDOWN($O35*$Y$7,0)))))))</f>
        <v>0</v>
      </c>
      <c r="X35" s="83">
        <f t="shared" si="20"/>
        <v>0</v>
      </c>
      <c r="Y35" s="144">
        <f t="shared" si="1"/>
        <v>0</v>
      </c>
      <c r="Z35" s="144">
        <f>IF($D$4="",0,IF($U$13="",0,IF($U$13=1,0,IF(AND($K35&gt;=$V$13,$G35&lt;$W$13),'3-3.国民健康保険料簡易計算'!$Q30,0))))</f>
        <v>0</v>
      </c>
      <c r="AA35" s="144">
        <f t="shared" si="28"/>
        <v>0</v>
      </c>
      <c r="AB35" s="73">
        <f t="shared" si="2"/>
        <v>0</v>
      </c>
      <c r="AC35" s="78">
        <f t="shared" si="3"/>
        <v>0</v>
      </c>
      <c r="AD35" s="162">
        <f>IF($D$4="","",VLOOKUP($K35,'3-2.所得算出参照表'!K$5:L$10,2,TRUE))</f>
        <v>1625000</v>
      </c>
      <c r="AE35" s="163">
        <f>IF($AD35="",0,IF($AD35='3-2.所得算出参照表'!$B$5,'3-2.所得算出参照表'!$E$5,IF('4-1.労働時間延長メニューメイン-1'!$AD35='3-2.所得算出参照表'!$B$6,'4-1.労働時間延長メニューメイン-1'!$K35*'3-2.所得算出参照表'!$E$6+'3-2.所得算出参照表'!$G$6,IF('4-1.労働時間延長メニューメイン-1'!$AD35='3-2.所得算出参照表'!$B$7,'4-1.労働時間延長メニューメイン-1'!$K35*'3-2.所得算出参照表'!$E$7+'3-2.所得算出参照表'!$G$7,IF('4-1.労働時間延長メニューメイン-1'!$AD35='3-2.所得算出参照表'!$B$8,'4-1.労働時間延長メニューメイン-1'!$K35*'3-2.所得算出参照表'!$E$8+'3-2.所得算出参照表'!$G$8,IF('4-1.労働時間延長メニューメイン-1'!$AD35='3-2.所得算出参照表'!$B$9,'4-1.労働時間延長メニューメイン-1'!$K35*'3-2.所得算出参照表'!$E$9+'3-2.所得算出参照表'!$G$9,IF($AD35='3-2.所得算出参照表'!$B$10,'3-2.所得算出参照表'!$G$10)))))))</f>
        <v>550000</v>
      </c>
      <c r="AF35" s="123">
        <f t="shared" si="4"/>
        <v>480000</v>
      </c>
      <c r="AG35" s="118">
        <f t="shared" si="21"/>
        <v>0</v>
      </c>
      <c r="AH35" s="165">
        <f>VLOOKUP($AG35,'3-2.所得算出参照表'!$N$4:$O$11,2,TRUE)</f>
        <v>0</v>
      </c>
      <c r="AI35" s="118">
        <f>VLOOKUP($AG35,'3-2.所得算出参照表'!$P$4:$Q$11,2,TRUE)</f>
        <v>0</v>
      </c>
      <c r="AJ35" s="118">
        <f t="shared" si="29"/>
        <v>0</v>
      </c>
      <c r="AK35" s="118">
        <f>$AJ35*'3-2.所得算出参照表'!$D$14</f>
        <v>0</v>
      </c>
      <c r="AL35" s="132">
        <f t="shared" si="30"/>
        <v>0</v>
      </c>
      <c r="AM35" s="140">
        <f>IF($AD35="",0,IF($AD35='3-2.所得算出参照表'!$B$5,'3-2.所得算出参照表'!$E$5,IF('4-1.労働時間延長メニューメイン-1'!$AD35='3-2.所得算出参照表'!$B$6,'4-1.労働時間延長メニューメイン-1'!$K35*'3-2.所得算出参照表'!$E$6+'3-2.所得算出参照表'!$G$6,IF('4-1.労働時間延長メニューメイン-1'!$AD35='3-2.所得算出参照表'!$B$7,'4-1.労働時間延長メニューメイン-1'!$K35*'3-2.所得算出参照表'!$E$7+'3-2.所得算出参照表'!$G$7,IF('4-1.労働時間延長メニューメイン-1'!$AD35='3-2.所得算出参照表'!$B$8,'4-1.労働時間延長メニューメイン-1'!$K35*'3-2.所得算出参照表'!$E$8+'3-2.所得算出参照表'!$G$8,IF('4-1.労働時間延長メニューメイン-1'!$AD35='3-2.所得算出参照表'!$B$9,'4-1.労働時間延長メニューメイン-1'!$K35*'3-2.所得算出参照表'!$E$9+'3-2.所得算出参照表'!$G$9,IF($AD35='3-2.所得算出参照表'!$B$10,'3-2.所得算出参照表'!$G$10)))))))</f>
        <v>550000</v>
      </c>
      <c r="AN35" s="82">
        <f t="shared" si="5"/>
        <v>430000</v>
      </c>
      <c r="AO35" s="128">
        <f t="shared" si="6"/>
        <v>0</v>
      </c>
      <c r="AP35" s="128">
        <f t="shared" si="7"/>
        <v>0</v>
      </c>
      <c r="AQ35" s="129">
        <f t="shared" si="8"/>
        <v>0</v>
      </c>
      <c r="AR35" s="136">
        <f t="shared" si="24"/>
        <v>0</v>
      </c>
      <c r="AS35" s="155">
        <f t="shared" si="9"/>
        <v>0</v>
      </c>
    </row>
    <row r="36" spans="2:45" ht="21.95" customHeight="1" x14ac:dyDescent="0.15">
      <c r="B36" s="111">
        <v>22</v>
      </c>
      <c r="C36" s="612" t="str">
        <f t="shared" si="25"/>
        <v/>
      </c>
      <c r="D36" s="619" t="str">
        <f t="shared" si="10"/>
        <v/>
      </c>
      <c r="E36" s="615" t="str">
        <f t="shared" si="11"/>
        <v/>
      </c>
      <c r="F36" s="614" t="str">
        <f t="shared" si="26"/>
        <v/>
      </c>
      <c r="G36" s="94" t="str">
        <f t="shared" si="27"/>
        <v/>
      </c>
      <c r="H36" s="211" t="str">
        <f t="shared" si="12"/>
        <v/>
      </c>
      <c r="I36" s="107">
        <f t="shared" si="13"/>
        <v>0</v>
      </c>
      <c r="J36" s="101">
        <f t="shared" si="14"/>
        <v>0</v>
      </c>
      <c r="K36" s="108">
        <f t="shared" si="15"/>
        <v>0</v>
      </c>
      <c r="L36" s="103">
        <f t="shared" si="16"/>
        <v>0</v>
      </c>
      <c r="M36" s="104">
        <f>IF($D$4="",0,IF($L36=0,0,VLOOKUP($L36,'3-1.標準報酬月額・保険料表'!$N$8:$O$57,2,TRUE)))</f>
        <v>0</v>
      </c>
      <c r="N36" s="200">
        <f t="shared" si="17"/>
        <v>0</v>
      </c>
      <c r="O36" s="104">
        <f t="shared" si="0"/>
        <v>0</v>
      </c>
      <c r="P36" s="200">
        <f t="shared" si="18"/>
        <v>0</v>
      </c>
      <c r="Q36" s="71">
        <f>IF($D$4="",0,IF($G36&lt;20,0,IF($Q$13="",0,IF($Q$13=2,0,IF($P36&lt;$R$13,0,IF($M36&lt;=620000,VLOOKUP($M36,'3-1.標準報酬月額・保険料表'!$D$8:$L$42,9,FALSE),'3-1.標準報酬月額・保険料表'!$L$42)+ROUNDDOWN($O36*$AA$7,0))))))</f>
        <v>0</v>
      </c>
      <c r="R36" s="60">
        <f>IF($D$4="",0,IF($G36&lt;20,0,IF($O$9="",0,IF($Q$13=2,0,IF($D$10&gt;=$S$13,0,IF($P36&lt;$R$13,0,VLOOKUP($M36,'3-1.標準報酬月額・保険料表'!$D$8:$J$57,6,FALSE)+ROUNDDOWN($O36*$X$7,0)))))))</f>
        <v>0</v>
      </c>
      <c r="S36" s="60">
        <f>IF($D$4="",0,IF($G36&lt;20,0,IF($Q$13="",0,IF($Q$13=2,0,IF($D$10&lt;$S$13,0,IF($P36&lt;$R$13,0,VLOOKUP($M36,'3-1.標準報酬月額・保険料表'!$D$8:$J$57,7,FALSE)+ROUNDDOWN($O36*$Y$7,0)))))))</f>
        <v>0</v>
      </c>
      <c r="T36" s="76">
        <f t="shared" si="19"/>
        <v>0</v>
      </c>
      <c r="U36" s="81">
        <f>IF($D$4="",0,IF($U$13="",0,IF($U$13=1,0,IF($G36&lt;$W$13,0,IF($K36&lt;$V$13,0,IF($M36&lt;=620000,VLOOKUP($M36,'3-1.標準報酬月額・保険料表'!$D$8:$L$42,9,FALSE),'3-1.標準報酬月額・保険料表'!$L$42)+ROUNDDOWN($O36*$AA$7,0))))))</f>
        <v>0</v>
      </c>
      <c r="V36" s="82">
        <f>IF($D$4="",0,IF($U$13="",0,IF($U$13=1,0,IF($G36&lt;$W$13,0,IF($K36&lt;$V$13,0,IF($D$10&gt;=$X$13,0,VLOOKUP($M36,'3-1.標準報酬月額・保険料表'!$D$8:$J$57,6,FALSE)+ROUNDDOWN($O36*$X$7,0)))))))</f>
        <v>0</v>
      </c>
      <c r="W36" s="82">
        <f>IF($D$4="",0,IF($U$13="",0,IF($U$13=1,0,IF($G36&lt;$W$13,0,IF($K36&lt;$V$13,0,IF($D$10&lt;$X$13,0,VLOOKUP($M36,'3-1.標準報酬月額・保険料表'!$D$8:$J$57,7,FALSE)+ROUNDDOWN($O36*$Y$7,0)))))))</f>
        <v>0</v>
      </c>
      <c r="X36" s="83">
        <f t="shared" si="20"/>
        <v>0</v>
      </c>
      <c r="Y36" s="144">
        <f t="shared" si="1"/>
        <v>0</v>
      </c>
      <c r="Z36" s="144">
        <f>IF($D$4="",0,IF($U$13="",0,IF($U$13=1,0,IF(AND($K36&gt;=$V$13,$G36&lt;$W$13),'3-3.国民健康保険料簡易計算'!$Q31,0))))</f>
        <v>0</v>
      </c>
      <c r="AA36" s="144">
        <f t="shared" si="28"/>
        <v>0</v>
      </c>
      <c r="AB36" s="73">
        <f t="shared" si="2"/>
        <v>0</v>
      </c>
      <c r="AC36" s="78">
        <f t="shared" si="3"/>
        <v>0</v>
      </c>
      <c r="AD36" s="162">
        <f>IF($D$4="","",VLOOKUP($K36,'3-2.所得算出参照表'!K$5:L$10,2,TRUE))</f>
        <v>1625000</v>
      </c>
      <c r="AE36" s="163">
        <f>IF($AD36="",0,IF($AD36='3-2.所得算出参照表'!$B$5,'3-2.所得算出参照表'!$E$5,IF('4-1.労働時間延長メニューメイン-1'!$AD36='3-2.所得算出参照表'!$B$6,'4-1.労働時間延長メニューメイン-1'!$K36*'3-2.所得算出参照表'!$E$6+'3-2.所得算出参照表'!$G$6,IF('4-1.労働時間延長メニューメイン-1'!$AD36='3-2.所得算出参照表'!$B$7,'4-1.労働時間延長メニューメイン-1'!$K36*'3-2.所得算出参照表'!$E$7+'3-2.所得算出参照表'!$G$7,IF('4-1.労働時間延長メニューメイン-1'!$AD36='3-2.所得算出参照表'!$B$8,'4-1.労働時間延長メニューメイン-1'!$K36*'3-2.所得算出参照表'!$E$8+'3-2.所得算出参照表'!$G$8,IF('4-1.労働時間延長メニューメイン-1'!$AD36='3-2.所得算出参照表'!$B$9,'4-1.労働時間延長メニューメイン-1'!$K36*'3-2.所得算出参照表'!$E$9+'3-2.所得算出参照表'!$G$9,IF($AD36='3-2.所得算出参照表'!$B$10,'3-2.所得算出参照表'!$G$10)))))))</f>
        <v>550000</v>
      </c>
      <c r="AF36" s="123">
        <f t="shared" si="4"/>
        <v>480000</v>
      </c>
      <c r="AG36" s="118">
        <f t="shared" si="21"/>
        <v>0</v>
      </c>
      <c r="AH36" s="165">
        <f>VLOOKUP($AG36,'3-2.所得算出参照表'!$N$4:$O$11,2,TRUE)</f>
        <v>0</v>
      </c>
      <c r="AI36" s="118">
        <f>VLOOKUP($AG36,'3-2.所得算出参照表'!$P$4:$Q$11,2,TRUE)</f>
        <v>0</v>
      </c>
      <c r="AJ36" s="118">
        <f t="shared" si="29"/>
        <v>0</v>
      </c>
      <c r="AK36" s="118">
        <f>$AJ36*'3-2.所得算出参照表'!$D$14</f>
        <v>0</v>
      </c>
      <c r="AL36" s="132">
        <f t="shared" si="30"/>
        <v>0</v>
      </c>
      <c r="AM36" s="140">
        <f>IF($AD36="",0,IF($AD36='3-2.所得算出参照表'!$B$5,'3-2.所得算出参照表'!$E$5,IF('4-1.労働時間延長メニューメイン-1'!$AD36='3-2.所得算出参照表'!$B$6,'4-1.労働時間延長メニューメイン-1'!$K36*'3-2.所得算出参照表'!$E$6+'3-2.所得算出参照表'!$G$6,IF('4-1.労働時間延長メニューメイン-1'!$AD36='3-2.所得算出参照表'!$B$7,'4-1.労働時間延長メニューメイン-1'!$K36*'3-2.所得算出参照表'!$E$7+'3-2.所得算出参照表'!$G$7,IF('4-1.労働時間延長メニューメイン-1'!$AD36='3-2.所得算出参照表'!$B$8,'4-1.労働時間延長メニューメイン-1'!$K36*'3-2.所得算出参照表'!$E$8+'3-2.所得算出参照表'!$G$8,IF('4-1.労働時間延長メニューメイン-1'!$AD36='3-2.所得算出参照表'!$B$9,'4-1.労働時間延長メニューメイン-1'!$K36*'3-2.所得算出参照表'!$E$9+'3-2.所得算出参照表'!$G$9,IF($AD36='3-2.所得算出参照表'!$B$10,'3-2.所得算出参照表'!$G$10)))))))</f>
        <v>550000</v>
      </c>
      <c r="AN36" s="82">
        <f t="shared" si="5"/>
        <v>430000</v>
      </c>
      <c r="AO36" s="128">
        <f t="shared" si="6"/>
        <v>0</v>
      </c>
      <c r="AP36" s="128">
        <f t="shared" si="7"/>
        <v>0</v>
      </c>
      <c r="AQ36" s="129">
        <f t="shared" si="8"/>
        <v>0</v>
      </c>
      <c r="AR36" s="136">
        <f t="shared" si="24"/>
        <v>0</v>
      </c>
      <c r="AS36" s="155">
        <f t="shared" si="9"/>
        <v>0</v>
      </c>
    </row>
    <row r="37" spans="2:45" ht="21.95" customHeight="1" x14ac:dyDescent="0.15">
      <c r="B37" s="111">
        <v>23</v>
      </c>
      <c r="C37" s="612" t="str">
        <f t="shared" si="25"/>
        <v/>
      </c>
      <c r="D37" s="619" t="str">
        <f t="shared" si="10"/>
        <v/>
      </c>
      <c r="E37" s="615" t="str">
        <f t="shared" si="11"/>
        <v/>
      </c>
      <c r="F37" s="614" t="str">
        <f t="shared" si="26"/>
        <v/>
      </c>
      <c r="G37" s="94" t="str">
        <f t="shared" si="27"/>
        <v/>
      </c>
      <c r="H37" s="211" t="str">
        <f t="shared" si="12"/>
        <v/>
      </c>
      <c r="I37" s="107">
        <f t="shared" si="13"/>
        <v>0</v>
      </c>
      <c r="J37" s="101">
        <f t="shared" si="14"/>
        <v>0</v>
      </c>
      <c r="K37" s="108">
        <f t="shared" si="15"/>
        <v>0</v>
      </c>
      <c r="L37" s="103">
        <f t="shared" si="16"/>
        <v>0</v>
      </c>
      <c r="M37" s="104">
        <f>IF($D$4="",0,IF($L37=0,0,VLOOKUP($L37,'3-1.標準報酬月額・保険料表'!$N$8:$O$57,2,TRUE)))</f>
        <v>0</v>
      </c>
      <c r="N37" s="200">
        <f t="shared" si="17"/>
        <v>0</v>
      </c>
      <c r="O37" s="104">
        <f t="shared" si="0"/>
        <v>0</v>
      </c>
      <c r="P37" s="200">
        <f t="shared" si="18"/>
        <v>0</v>
      </c>
      <c r="Q37" s="71">
        <f>IF($D$4="",0,IF($G37&lt;20,0,IF($Q$13="",0,IF($Q$13=2,0,IF($P37&lt;$R$13,0,IF($M37&lt;=620000,VLOOKUP($M37,'3-1.標準報酬月額・保険料表'!$D$8:$L$42,9,FALSE),'3-1.標準報酬月額・保険料表'!$L$42)+ROUNDDOWN($O37*$AA$7,0))))))</f>
        <v>0</v>
      </c>
      <c r="R37" s="60">
        <f>IF($D$4="",0,IF($G37&lt;20,0,IF($O$9="",0,IF($Q$13=2,0,IF($D$10&gt;=$S$13,0,IF($P37&lt;$R$13,0,VLOOKUP($M37,'3-1.標準報酬月額・保険料表'!$D$8:$J$57,6,FALSE)+ROUNDDOWN($O37*$X$7,0)))))))</f>
        <v>0</v>
      </c>
      <c r="S37" s="60">
        <f>IF($D$4="",0,IF($G37&lt;20,0,IF($Q$13="",0,IF($Q$13=2,0,IF($D$10&lt;$S$13,0,IF($P37&lt;$R$13,0,VLOOKUP($M37,'3-1.標準報酬月額・保険料表'!$D$8:$J$57,7,FALSE)+ROUNDDOWN($O37*$Y$7,0)))))))</f>
        <v>0</v>
      </c>
      <c r="T37" s="76">
        <f t="shared" si="19"/>
        <v>0</v>
      </c>
      <c r="U37" s="81">
        <f>IF($D$4="",0,IF($U$13="",0,IF($U$13=1,0,IF($G37&lt;$W$13,0,IF($K37&lt;$V$13,0,IF($M37&lt;=620000,VLOOKUP($M37,'3-1.標準報酬月額・保険料表'!$D$8:$L$42,9,FALSE),'3-1.標準報酬月額・保険料表'!$L$42)+ROUNDDOWN($O37*$AA$7,0))))))</f>
        <v>0</v>
      </c>
      <c r="V37" s="82">
        <f>IF($D$4="",0,IF($U$13="",0,IF($U$13=1,0,IF($G37&lt;$W$13,0,IF($K37&lt;$V$13,0,IF($D$10&gt;=$X$13,0,VLOOKUP($M37,'3-1.標準報酬月額・保険料表'!$D$8:$J$57,6,FALSE)+ROUNDDOWN($O37*$X$7,0)))))))</f>
        <v>0</v>
      </c>
      <c r="W37" s="82">
        <f>IF($D$4="",0,IF($U$13="",0,IF($U$13=1,0,IF($G37&lt;$W$13,0,IF($K37&lt;$V$13,0,IF($D$10&lt;$X$13,0,VLOOKUP($M37,'3-1.標準報酬月額・保険料表'!$D$8:$J$57,7,FALSE)+ROUNDDOWN($O37*$Y$7,0)))))))</f>
        <v>0</v>
      </c>
      <c r="X37" s="83">
        <f t="shared" si="20"/>
        <v>0</v>
      </c>
      <c r="Y37" s="144">
        <f t="shared" si="1"/>
        <v>0</v>
      </c>
      <c r="Z37" s="144">
        <f>IF($D$4="",0,IF($U$13="",0,IF($U$13=1,0,IF(AND($K37&gt;=$V$13,$G37&lt;$W$13),'3-3.国民健康保険料簡易計算'!$Q32,0))))</f>
        <v>0</v>
      </c>
      <c r="AA37" s="144">
        <f t="shared" si="28"/>
        <v>0</v>
      </c>
      <c r="AB37" s="73">
        <f t="shared" si="2"/>
        <v>0</v>
      </c>
      <c r="AC37" s="78">
        <f t="shared" si="3"/>
        <v>0</v>
      </c>
      <c r="AD37" s="162">
        <f>IF($D$4="","",VLOOKUP($K37,'3-2.所得算出参照表'!K$5:L$10,2,TRUE))</f>
        <v>1625000</v>
      </c>
      <c r="AE37" s="163">
        <f>IF($AD37="",0,IF($AD37='3-2.所得算出参照表'!$B$5,'3-2.所得算出参照表'!$E$5,IF('4-1.労働時間延長メニューメイン-1'!$AD37='3-2.所得算出参照表'!$B$6,'4-1.労働時間延長メニューメイン-1'!$K37*'3-2.所得算出参照表'!$E$6+'3-2.所得算出参照表'!$G$6,IF('4-1.労働時間延長メニューメイン-1'!$AD37='3-2.所得算出参照表'!$B$7,'4-1.労働時間延長メニューメイン-1'!$K37*'3-2.所得算出参照表'!$E$7+'3-2.所得算出参照表'!$G$7,IF('4-1.労働時間延長メニューメイン-1'!$AD37='3-2.所得算出参照表'!$B$8,'4-1.労働時間延長メニューメイン-1'!$K37*'3-2.所得算出参照表'!$E$8+'3-2.所得算出参照表'!$G$8,IF('4-1.労働時間延長メニューメイン-1'!$AD37='3-2.所得算出参照表'!$B$9,'4-1.労働時間延長メニューメイン-1'!$K37*'3-2.所得算出参照表'!$E$9+'3-2.所得算出参照表'!$G$9,IF($AD37='3-2.所得算出参照表'!$B$10,'3-2.所得算出参照表'!$G$10)))))))</f>
        <v>550000</v>
      </c>
      <c r="AF37" s="123">
        <f t="shared" si="4"/>
        <v>480000</v>
      </c>
      <c r="AG37" s="118">
        <f t="shared" si="21"/>
        <v>0</v>
      </c>
      <c r="AH37" s="165">
        <f>VLOOKUP($AG37,'3-2.所得算出参照表'!$N$4:$O$11,2,TRUE)</f>
        <v>0</v>
      </c>
      <c r="AI37" s="118">
        <f>VLOOKUP($AG37,'3-2.所得算出参照表'!$P$4:$Q$11,2,TRUE)</f>
        <v>0</v>
      </c>
      <c r="AJ37" s="118">
        <f t="shared" si="29"/>
        <v>0</v>
      </c>
      <c r="AK37" s="118">
        <f>$AJ37*'3-2.所得算出参照表'!$D$14</f>
        <v>0</v>
      </c>
      <c r="AL37" s="132">
        <f t="shared" si="30"/>
        <v>0</v>
      </c>
      <c r="AM37" s="140">
        <f>IF($AD37="",0,IF($AD37='3-2.所得算出参照表'!$B$5,'3-2.所得算出参照表'!$E$5,IF('4-1.労働時間延長メニューメイン-1'!$AD37='3-2.所得算出参照表'!$B$6,'4-1.労働時間延長メニューメイン-1'!$K37*'3-2.所得算出参照表'!$E$6+'3-2.所得算出参照表'!$G$6,IF('4-1.労働時間延長メニューメイン-1'!$AD37='3-2.所得算出参照表'!$B$7,'4-1.労働時間延長メニューメイン-1'!$K37*'3-2.所得算出参照表'!$E$7+'3-2.所得算出参照表'!$G$7,IF('4-1.労働時間延長メニューメイン-1'!$AD37='3-2.所得算出参照表'!$B$8,'4-1.労働時間延長メニューメイン-1'!$K37*'3-2.所得算出参照表'!$E$8+'3-2.所得算出参照表'!$G$8,IF('4-1.労働時間延長メニューメイン-1'!$AD37='3-2.所得算出参照表'!$B$9,'4-1.労働時間延長メニューメイン-1'!$K37*'3-2.所得算出参照表'!$E$9+'3-2.所得算出参照表'!$G$9,IF($AD37='3-2.所得算出参照表'!$B$10,'3-2.所得算出参照表'!$G$10)))))))</f>
        <v>550000</v>
      </c>
      <c r="AN37" s="82">
        <f t="shared" si="5"/>
        <v>430000</v>
      </c>
      <c r="AO37" s="128">
        <f t="shared" si="6"/>
        <v>0</v>
      </c>
      <c r="AP37" s="128">
        <f t="shared" si="7"/>
        <v>0</v>
      </c>
      <c r="AQ37" s="129">
        <f t="shared" si="8"/>
        <v>0</v>
      </c>
      <c r="AR37" s="136">
        <f t="shared" si="24"/>
        <v>0</v>
      </c>
      <c r="AS37" s="155">
        <f t="shared" si="9"/>
        <v>0</v>
      </c>
    </row>
    <row r="38" spans="2:45" ht="21.95" customHeight="1" x14ac:dyDescent="0.15">
      <c r="B38" s="110">
        <v>24</v>
      </c>
      <c r="C38" s="612" t="str">
        <f t="shared" si="25"/>
        <v/>
      </c>
      <c r="D38" s="619" t="str">
        <f t="shared" si="10"/>
        <v/>
      </c>
      <c r="E38" s="615" t="str">
        <f t="shared" si="11"/>
        <v/>
      </c>
      <c r="F38" s="614" t="str">
        <f t="shared" si="26"/>
        <v/>
      </c>
      <c r="G38" s="94" t="str">
        <f t="shared" si="27"/>
        <v/>
      </c>
      <c r="H38" s="211" t="str">
        <f t="shared" si="12"/>
        <v/>
      </c>
      <c r="I38" s="107">
        <f t="shared" si="13"/>
        <v>0</v>
      </c>
      <c r="J38" s="101">
        <f t="shared" si="14"/>
        <v>0</v>
      </c>
      <c r="K38" s="108">
        <f t="shared" si="15"/>
        <v>0</v>
      </c>
      <c r="L38" s="103">
        <f t="shared" si="16"/>
        <v>0</v>
      </c>
      <c r="M38" s="104">
        <f>IF($D$4="",0,IF($L38=0,0,VLOOKUP($L38,'3-1.標準報酬月額・保険料表'!$N$8:$O$57,2,TRUE)))</f>
        <v>0</v>
      </c>
      <c r="N38" s="200">
        <f t="shared" si="17"/>
        <v>0</v>
      </c>
      <c r="O38" s="104">
        <f t="shared" si="0"/>
        <v>0</v>
      </c>
      <c r="P38" s="200">
        <f t="shared" si="18"/>
        <v>0</v>
      </c>
      <c r="Q38" s="71">
        <f>IF($D$4="",0,IF($G38&lt;20,0,IF($Q$13="",0,IF($Q$13=2,0,IF($P38&lt;$R$13,0,IF($M38&lt;=620000,VLOOKUP($M38,'3-1.標準報酬月額・保険料表'!$D$8:$L$42,9,FALSE),'3-1.標準報酬月額・保険料表'!$L$42)+ROUNDDOWN($O38*$AA$7,0))))))</f>
        <v>0</v>
      </c>
      <c r="R38" s="60">
        <f>IF($D$4="",0,IF($G38&lt;20,0,IF($O$9="",0,IF($Q$13=2,0,IF($D$10&gt;=$S$13,0,IF($P38&lt;$R$13,0,VLOOKUP($M38,'3-1.標準報酬月額・保険料表'!$D$8:$J$57,6,FALSE)+ROUNDDOWN($O38*$X$7,0)))))))</f>
        <v>0</v>
      </c>
      <c r="S38" s="60">
        <f>IF($D$4="",0,IF($G38&lt;20,0,IF($Q$13="",0,IF($Q$13=2,0,IF($D$10&lt;$S$13,0,IF($P38&lt;$R$13,0,VLOOKUP($M38,'3-1.標準報酬月額・保険料表'!$D$8:$J$57,7,FALSE)+ROUNDDOWN($O38*$Y$7,0)))))))</f>
        <v>0</v>
      </c>
      <c r="T38" s="76">
        <f t="shared" si="19"/>
        <v>0</v>
      </c>
      <c r="U38" s="81">
        <f>IF($D$4="",0,IF($U$13="",0,IF($U$13=1,0,IF($G38&lt;$W$13,0,IF($K38&lt;$V$13,0,IF($M38&lt;=620000,VLOOKUP($M38,'3-1.標準報酬月額・保険料表'!$D$8:$L$42,9,FALSE),'3-1.標準報酬月額・保険料表'!$L$42)+ROUNDDOWN($O38*$AA$7,0))))))</f>
        <v>0</v>
      </c>
      <c r="V38" s="82">
        <f>IF($D$4="",0,IF($U$13="",0,IF($U$13=1,0,IF($G38&lt;$W$13,0,IF($K38&lt;$V$13,0,IF($D$10&gt;=$X$13,0,VLOOKUP($M38,'3-1.標準報酬月額・保険料表'!$D$8:$J$57,6,FALSE)+ROUNDDOWN($O38*$X$7,0)))))))</f>
        <v>0</v>
      </c>
      <c r="W38" s="82">
        <f>IF($D$4="",0,IF($U$13="",0,IF($U$13=1,0,IF($G38&lt;$W$13,0,IF($K38&lt;$V$13,0,IF($D$10&lt;$X$13,0,VLOOKUP($M38,'3-1.標準報酬月額・保険料表'!$D$8:$J$57,7,FALSE)+ROUNDDOWN($O38*$Y$7,0)))))))</f>
        <v>0</v>
      </c>
      <c r="X38" s="83">
        <f t="shared" si="20"/>
        <v>0</v>
      </c>
      <c r="Y38" s="144">
        <f t="shared" si="1"/>
        <v>0</v>
      </c>
      <c r="Z38" s="144">
        <f>IF($D$4="",0,IF($U$13="",0,IF($U$13=1,0,IF(AND($K38&gt;=$V$13,$G38&lt;$W$13),'3-3.国民健康保険料簡易計算'!$Q33,0))))</f>
        <v>0</v>
      </c>
      <c r="AA38" s="144">
        <f t="shared" si="28"/>
        <v>0</v>
      </c>
      <c r="AB38" s="73">
        <f t="shared" si="2"/>
        <v>0</v>
      </c>
      <c r="AC38" s="78">
        <f t="shared" si="3"/>
        <v>0</v>
      </c>
      <c r="AD38" s="162">
        <f>IF($D$4="","",VLOOKUP($K38,'3-2.所得算出参照表'!K$5:L$10,2,TRUE))</f>
        <v>1625000</v>
      </c>
      <c r="AE38" s="163">
        <f>IF($AD38="",0,IF($AD38='3-2.所得算出参照表'!$B$5,'3-2.所得算出参照表'!$E$5,IF('4-1.労働時間延長メニューメイン-1'!$AD38='3-2.所得算出参照表'!$B$6,'4-1.労働時間延長メニューメイン-1'!$K38*'3-2.所得算出参照表'!$E$6+'3-2.所得算出参照表'!$G$6,IF('4-1.労働時間延長メニューメイン-1'!$AD38='3-2.所得算出参照表'!$B$7,'4-1.労働時間延長メニューメイン-1'!$K38*'3-2.所得算出参照表'!$E$7+'3-2.所得算出参照表'!$G$7,IF('4-1.労働時間延長メニューメイン-1'!$AD38='3-2.所得算出参照表'!$B$8,'4-1.労働時間延長メニューメイン-1'!$K38*'3-2.所得算出参照表'!$E$8+'3-2.所得算出参照表'!$G$8,IF('4-1.労働時間延長メニューメイン-1'!$AD38='3-2.所得算出参照表'!$B$9,'4-1.労働時間延長メニューメイン-1'!$K38*'3-2.所得算出参照表'!$E$9+'3-2.所得算出参照表'!$G$9,IF($AD38='3-2.所得算出参照表'!$B$10,'3-2.所得算出参照表'!$G$10)))))))</f>
        <v>550000</v>
      </c>
      <c r="AF38" s="123">
        <f t="shared" si="4"/>
        <v>480000</v>
      </c>
      <c r="AG38" s="118">
        <f t="shared" si="21"/>
        <v>0</v>
      </c>
      <c r="AH38" s="165">
        <f>VLOOKUP($AG38,'3-2.所得算出参照表'!$N$4:$O$11,2,TRUE)</f>
        <v>0</v>
      </c>
      <c r="AI38" s="118">
        <f>VLOOKUP($AG38,'3-2.所得算出参照表'!$P$4:$Q$11,2,TRUE)</f>
        <v>0</v>
      </c>
      <c r="AJ38" s="118">
        <f t="shared" si="29"/>
        <v>0</v>
      </c>
      <c r="AK38" s="118">
        <f>$AJ38*'3-2.所得算出参照表'!$D$14</f>
        <v>0</v>
      </c>
      <c r="AL38" s="132">
        <f t="shared" si="30"/>
        <v>0</v>
      </c>
      <c r="AM38" s="140">
        <f>IF($AD38="",0,IF($AD38='3-2.所得算出参照表'!$B$5,'3-2.所得算出参照表'!$E$5,IF('4-1.労働時間延長メニューメイン-1'!$AD38='3-2.所得算出参照表'!$B$6,'4-1.労働時間延長メニューメイン-1'!$K38*'3-2.所得算出参照表'!$E$6+'3-2.所得算出参照表'!$G$6,IF('4-1.労働時間延長メニューメイン-1'!$AD38='3-2.所得算出参照表'!$B$7,'4-1.労働時間延長メニューメイン-1'!$K38*'3-2.所得算出参照表'!$E$7+'3-2.所得算出参照表'!$G$7,IF('4-1.労働時間延長メニューメイン-1'!$AD38='3-2.所得算出参照表'!$B$8,'4-1.労働時間延長メニューメイン-1'!$K38*'3-2.所得算出参照表'!$E$8+'3-2.所得算出参照表'!$G$8,IF('4-1.労働時間延長メニューメイン-1'!$AD38='3-2.所得算出参照表'!$B$9,'4-1.労働時間延長メニューメイン-1'!$K38*'3-2.所得算出参照表'!$E$9+'3-2.所得算出参照表'!$G$9,IF($AD38='3-2.所得算出参照表'!$B$10,'3-2.所得算出参照表'!$G$10)))))))</f>
        <v>550000</v>
      </c>
      <c r="AN38" s="82">
        <f t="shared" si="5"/>
        <v>430000</v>
      </c>
      <c r="AO38" s="128">
        <f t="shared" si="6"/>
        <v>0</v>
      </c>
      <c r="AP38" s="128">
        <f t="shared" si="7"/>
        <v>0</v>
      </c>
      <c r="AQ38" s="129">
        <f t="shared" si="8"/>
        <v>0</v>
      </c>
      <c r="AR38" s="136">
        <f t="shared" si="24"/>
        <v>0</v>
      </c>
      <c r="AS38" s="155">
        <f t="shared" si="9"/>
        <v>0</v>
      </c>
    </row>
    <row r="39" spans="2:45" ht="21.95" customHeight="1" x14ac:dyDescent="0.15">
      <c r="B39" s="111">
        <v>25</v>
      </c>
      <c r="C39" s="612" t="str">
        <f t="shared" si="25"/>
        <v/>
      </c>
      <c r="D39" s="619" t="str">
        <f t="shared" si="10"/>
        <v/>
      </c>
      <c r="E39" s="615" t="str">
        <f t="shared" si="11"/>
        <v/>
      </c>
      <c r="F39" s="614" t="str">
        <f t="shared" si="26"/>
        <v/>
      </c>
      <c r="G39" s="94" t="str">
        <f t="shared" si="27"/>
        <v/>
      </c>
      <c r="H39" s="211" t="str">
        <f t="shared" si="12"/>
        <v/>
      </c>
      <c r="I39" s="107">
        <f t="shared" si="13"/>
        <v>0</v>
      </c>
      <c r="J39" s="101">
        <f t="shared" si="14"/>
        <v>0</v>
      </c>
      <c r="K39" s="108">
        <f t="shared" si="15"/>
        <v>0</v>
      </c>
      <c r="L39" s="103">
        <f t="shared" si="16"/>
        <v>0</v>
      </c>
      <c r="M39" s="104">
        <f>IF($D$4="",0,IF($L39=0,0,VLOOKUP($L39,'3-1.標準報酬月額・保険料表'!$N$8:$O$57,2,TRUE)))</f>
        <v>0</v>
      </c>
      <c r="N39" s="200">
        <f t="shared" si="17"/>
        <v>0</v>
      </c>
      <c r="O39" s="104">
        <f t="shared" si="0"/>
        <v>0</v>
      </c>
      <c r="P39" s="200">
        <f t="shared" si="18"/>
        <v>0</v>
      </c>
      <c r="Q39" s="71">
        <f>IF($D$4="",0,IF($G39&lt;20,0,IF($Q$13="",0,IF($Q$13=2,0,IF($P39&lt;$R$13,0,IF($M39&lt;=620000,VLOOKUP($M39,'3-1.標準報酬月額・保険料表'!$D$8:$L$42,9,FALSE),'3-1.標準報酬月額・保険料表'!$L$42)+ROUNDDOWN($O39*$AA$7,0))))))</f>
        <v>0</v>
      </c>
      <c r="R39" s="60">
        <f>IF($D$4="",0,IF($G39&lt;20,0,IF($O$9="",0,IF($Q$13=2,0,IF($D$10&gt;=$S$13,0,IF($P39&lt;$R$13,0,VLOOKUP($M39,'3-1.標準報酬月額・保険料表'!$D$8:$J$57,6,FALSE)+ROUNDDOWN($O39*$X$7,0)))))))</f>
        <v>0</v>
      </c>
      <c r="S39" s="60">
        <f>IF($D$4="",0,IF($G39&lt;20,0,IF($Q$13="",0,IF($Q$13=2,0,IF($D$10&lt;$S$13,0,IF($P39&lt;$R$13,0,VLOOKUP($M39,'3-1.標準報酬月額・保険料表'!$D$8:$J$57,7,FALSE)+ROUNDDOWN($O39*$Y$7,0)))))))</f>
        <v>0</v>
      </c>
      <c r="T39" s="76">
        <f t="shared" si="19"/>
        <v>0</v>
      </c>
      <c r="U39" s="81">
        <f>IF($D$4="",0,IF($U$13="",0,IF($U$13=1,0,IF($G39&lt;$W$13,0,IF($K39&lt;$V$13,0,IF($M39&lt;=620000,VLOOKUP($M39,'3-1.標準報酬月額・保険料表'!$D$8:$L$42,9,FALSE),'3-1.標準報酬月額・保険料表'!$L$42)+ROUNDDOWN($O39*$AA$7,0))))))</f>
        <v>0</v>
      </c>
      <c r="V39" s="82">
        <f>IF($D$4="",0,IF($U$13="",0,IF($U$13=1,0,IF($G39&lt;$W$13,0,IF($K39&lt;$V$13,0,IF($D$10&gt;=$X$13,0,VLOOKUP($M39,'3-1.標準報酬月額・保険料表'!$D$8:$J$57,6,FALSE)+ROUNDDOWN($O39*$X$7,0)))))))</f>
        <v>0</v>
      </c>
      <c r="W39" s="82">
        <f>IF($D$4="",0,IF($U$13="",0,IF($U$13=1,0,IF($G39&lt;$W$13,0,IF($K39&lt;$V$13,0,IF($D$10&lt;$X$13,0,VLOOKUP($M39,'3-1.標準報酬月額・保険料表'!$D$8:$J$57,7,FALSE)+ROUNDDOWN($O39*$Y$7,0)))))))</f>
        <v>0</v>
      </c>
      <c r="X39" s="83">
        <f t="shared" si="20"/>
        <v>0</v>
      </c>
      <c r="Y39" s="144">
        <f t="shared" si="1"/>
        <v>0</v>
      </c>
      <c r="Z39" s="144">
        <f>IF($D$4="",0,IF($U$13="",0,IF($U$13=1,0,IF(AND($K39&gt;=$V$13,$G39&lt;$W$13),'3-3.国民健康保険料簡易計算'!$Q34,0))))</f>
        <v>0</v>
      </c>
      <c r="AA39" s="144">
        <f t="shared" si="28"/>
        <v>0</v>
      </c>
      <c r="AB39" s="73">
        <f t="shared" si="2"/>
        <v>0</v>
      </c>
      <c r="AC39" s="78">
        <f t="shared" si="3"/>
        <v>0</v>
      </c>
      <c r="AD39" s="162">
        <f>IF($D$4="","",VLOOKUP($K39,'3-2.所得算出参照表'!K$5:L$10,2,TRUE))</f>
        <v>1625000</v>
      </c>
      <c r="AE39" s="163">
        <f>IF($AD39="",0,IF($AD39='3-2.所得算出参照表'!$B$5,'3-2.所得算出参照表'!$E$5,IF('4-1.労働時間延長メニューメイン-1'!$AD39='3-2.所得算出参照表'!$B$6,'4-1.労働時間延長メニューメイン-1'!$K39*'3-2.所得算出参照表'!$E$6+'3-2.所得算出参照表'!$G$6,IF('4-1.労働時間延長メニューメイン-1'!$AD39='3-2.所得算出参照表'!$B$7,'4-1.労働時間延長メニューメイン-1'!$K39*'3-2.所得算出参照表'!$E$7+'3-2.所得算出参照表'!$G$7,IF('4-1.労働時間延長メニューメイン-1'!$AD39='3-2.所得算出参照表'!$B$8,'4-1.労働時間延長メニューメイン-1'!$K39*'3-2.所得算出参照表'!$E$8+'3-2.所得算出参照表'!$G$8,IF('4-1.労働時間延長メニューメイン-1'!$AD39='3-2.所得算出参照表'!$B$9,'4-1.労働時間延長メニューメイン-1'!$K39*'3-2.所得算出参照表'!$E$9+'3-2.所得算出参照表'!$G$9,IF($AD39='3-2.所得算出参照表'!$B$10,'3-2.所得算出参照表'!$G$10)))))))</f>
        <v>550000</v>
      </c>
      <c r="AF39" s="123">
        <f t="shared" si="4"/>
        <v>480000</v>
      </c>
      <c r="AG39" s="118">
        <f t="shared" si="21"/>
        <v>0</v>
      </c>
      <c r="AH39" s="165">
        <f>VLOOKUP($AG39,'3-2.所得算出参照表'!$N$4:$O$11,2,TRUE)</f>
        <v>0</v>
      </c>
      <c r="AI39" s="118">
        <f>VLOOKUP($AG39,'3-2.所得算出参照表'!$P$4:$Q$11,2,TRUE)</f>
        <v>0</v>
      </c>
      <c r="AJ39" s="118">
        <f t="shared" si="29"/>
        <v>0</v>
      </c>
      <c r="AK39" s="118">
        <f>$AJ39*'3-2.所得算出参照表'!$D$14</f>
        <v>0</v>
      </c>
      <c r="AL39" s="132">
        <f t="shared" si="30"/>
        <v>0</v>
      </c>
      <c r="AM39" s="140">
        <f>IF($AD39="",0,IF($AD39='3-2.所得算出参照表'!$B$5,'3-2.所得算出参照表'!$E$5,IF('4-1.労働時間延長メニューメイン-1'!$AD39='3-2.所得算出参照表'!$B$6,'4-1.労働時間延長メニューメイン-1'!$K39*'3-2.所得算出参照表'!$E$6+'3-2.所得算出参照表'!$G$6,IF('4-1.労働時間延長メニューメイン-1'!$AD39='3-2.所得算出参照表'!$B$7,'4-1.労働時間延長メニューメイン-1'!$K39*'3-2.所得算出参照表'!$E$7+'3-2.所得算出参照表'!$G$7,IF('4-1.労働時間延長メニューメイン-1'!$AD39='3-2.所得算出参照表'!$B$8,'4-1.労働時間延長メニューメイン-1'!$K39*'3-2.所得算出参照表'!$E$8+'3-2.所得算出参照表'!$G$8,IF('4-1.労働時間延長メニューメイン-1'!$AD39='3-2.所得算出参照表'!$B$9,'4-1.労働時間延長メニューメイン-1'!$K39*'3-2.所得算出参照表'!$E$9+'3-2.所得算出参照表'!$G$9,IF($AD39='3-2.所得算出参照表'!$B$10,'3-2.所得算出参照表'!$G$10)))))))</f>
        <v>550000</v>
      </c>
      <c r="AN39" s="82">
        <f t="shared" si="5"/>
        <v>430000</v>
      </c>
      <c r="AO39" s="128">
        <f t="shared" si="6"/>
        <v>0</v>
      </c>
      <c r="AP39" s="128">
        <f t="shared" si="7"/>
        <v>0</v>
      </c>
      <c r="AQ39" s="129">
        <f t="shared" si="8"/>
        <v>0</v>
      </c>
      <c r="AR39" s="136">
        <f t="shared" si="24"/>
        <v>0</v>
      </c>
      <c r="AS39" s="155">
        <f t="shared" si="9"/>
        <v>0</v>
      </c>
    </row>
    <row r="40" spans="2:45" ht="21.95" customHeight="1" x14ac:dyDescent="0.15">
      <c r="B40" s="111">
        <v>26</v>
      </c>
      <c r="C40" s="612" t="str">
        <f t="shared" si="25"/>
        <v/>
      </c>
      <c r="D40" s="619" t="str">
        <f t="shared" si="10"/>
        <v/>
      </c>
      <c r="E40" s="615" t="str">
        <f t="shared" si="11"/>
        <v/>
      </c>
      <c r="F40" s="614" t="str">
        <f t="shared" si="26"/>
        <v/>
      </c>
      <c r="G40" s="94" t="str">
        <f t="shared" si="27"/>
        <v/>
      </c>
      <c r="H40" s="211" t="str">
        <f t="shared" si="12"/>
        <v/>
      </c>
      <c r="I40" s="107">
        <f t="shared" si="13"/>
        <v>0</v>
      </c>
      <c r="J40" s="101">
        <f t="shared" si="14"/>
        <v>0</v>
      </c>
      <c r="K40" s="108">
        <f t="shared" si="15"/>
        <v>0</v>
      </c>
      <c r="L40" s="103">
        <f t="shared" si="16"/>
        <v>0</v>
      </c>
      <c r="M40" s="104">
        <f>IF($D$4="",0,IF($L40=0,0,VLOOKUP($L40,'3-1.標準報酬月額・保険料表'!$N$8:$O$57,2,TRUE)))</f>
        <v>0</v>
      </c>
      <c r="N40" s="200">
        <f t="shared" si="17"/>
        <v>0</v>
      </c>
      <c r="O40" s="104">
        <f t="shared" si="0"/>
        <v>0</v>
      </c>
      <c r="P40" s="200">
        <f t="shared" si="18"/>
        <v>0</v>
      </c>
      <c r="Q40" s="71">
        <f>IF($D$4="",0,IF($G40&lt;20,0,IF($Q$13="",0,IF($Q$13=2,0,IF($P40&lt;$R$13,0,IF($M40&lt;=620000,VLOOKUP($M40,'3-1.標準報酬月額・保険料表'!$D$8:$L$42,9,FALSE),'3-1.標準報酬月額・保険料表'!$L$42)+ROUNDDOWN($O40*$AA$7,0))))))</f>
        <v>0</v>
      </c>
      <c r="R40" s="60">
        <f>IF($D$4="",0,IF($G40&lt;20,0,IF($O$9="",0,IF($Q$13=2,0,IF($D$10&gt;=$S$13,0,IF($P40&lt;$R$13,0,VLOOKUP($M40,'3-1.標準報酬月額・保険料表'!$D$8:$J$57,6,FALSE)+ROUNDDOWN($O40*$X$7,0)))))))</f>
        <v>0</v>
      </c>
      <c r="S40" s="60">
        <f>IF($D$4="",0,IF($G40&lt;20,0,IF($Q$13="",0,IF($Q$13=2,0,IF($D$10&lt;$S$13,0,IF($P40&lt;$R$13,0,VLOOKUP($M40,'3-1.標準報酬月額・保険料表'!$D$8:$J$57,7,FALSE)+ROUNDDOWN($O40*$Y$7,0)))))))</f>
        <v>0</v>
      </c>
      <c r="T40" s="76">
        <f t="shared" si="19"/>
        <v>0</v>
      </c>
      <c r="U40" s="81">
        <f>IF($D$4="",0,IF($U$13="",0,IF($U$13=1,0,IF($G40&lt;$W$13,0,IF($K40&lt;$V$13,0,IF($M40&lt;=620000,VLOOKUP($M40,'3-1.標準報酬月額・保険料表'!$D$8:$L$42,9,FALSE),'3-1.標準報酬月額・保険料表'!$L$42)+ROUNDDOWN($O40*$AA$7,0))))))</f>
        <v>0</v>
      </c>
      <c r="V40" s="82">
        <f>IF($D$4="",0,IF($U$13="",0,IF($U$13=1,0,IF($G40&lt;$W$13,0,IF($K40&lt;$V$13,0,IF($D$10&gt;=$X$13,0,VLOOKUP($M40,'3-1.標準報酬月額・保険料表'!$D$8:$J$57,6,FALSE)+ROUNDDOWN($O40*$X$7,0)))))))</f>
        <v>0</v>
      </c>
      <c r="W40" s="82">
        <f>IF($D$4="",0,IF($U$13="",0,IF($U$13=1,0,IF($G40&lt;$W$13,0,IF($K40&lt;$V$13,0,IF($D$10&lt;$X$13,0,VLOOKUP($M40,'3-1.標準報酬月額・保険料表'!$D$8:$J$57,7,FALSE)+ROUNDDOWN($O40*$Y$7,0)))))))</f>
        <v>0</v>
      </c>
      <c r="X40" s="83">
        <f t="shared" si="20"/>
        <v>0</v>
      </c>
      <c r="Y40" s="144">
        <f t="shared" si="1"/>
        <v>0</v>
      </c>
      <c r="Z40" s="144">
        <f>IF($D$4="",0,IF($U$13="",0,IF($U$13=1,0,IF(AND($K40&gt;=$V$13,$G40&lt;$W$13),'3-3.国民健康保険料簡易計算'!$Q35,0))))</f>
        <v>0</v>
      </c>
      <c r="AA40" s="144">
        <f t="shared" si="28"/>
        <v>0</v>
      </c>
      <c r="AB40" s="73">
        <f t="shared" si="2"/>
        <v>0</v>
      </c>
      <c r="AC40" s="78">
        <f t="shared" si="3"/>
        <v>0</v>
      </c>
      <c r="AD40" s="162">
        <f>IF($D$4="","",VLOOKUP($K40,'3-2.所得算出参照表'!K$5:L$10,2,TRUE))</f>
        <v>1625000</v>
      </c>
      <c r="AE40" s="163">
        <f>IF($AD40="",0,IF($AD40='3-2.所得算出参照表'!$B$5,'3-2.所得算出参照表'!$E$5,IF('4-1.労働時間延長メニューメイン-1'!$AD40='3-2.所得算出参照表'!$B$6,'4-1.労働時間延長メニューメイン-1'!$K40*'3-2.所得算出参照表'!$E$6+'3-2.所得算出参照表'!$G$6,IF('4-1.労働時間延長メニューメイン-1'!$AD40='3-2.所得算出参照表'!$B$7,'4-1.労働時間延長メニューメイン-1'!$K40*'3-2.所得算出参照表'!$E$7+'3-2.所得算出参照表'!$G$7,IF('4-1.労働時間延長メニューメイン-1'!$AD40='3-2.所得算出参照表'!$B$8,'4-1.労働時間延長メニューメイン-1'!$K40*'3-2.所得算出参照表'!$E$8+'3-2.所得算出参照表'!$G$8,IF('4-1.労働時間延長メニューメイン-1'!$AD40='3-2.所得算出参照表'!$B$9,'4-1.労働時間延長メニューメイン-1'!$K40*'3-2.所得算出参照表'!$E$9+'3-2.所得算出参照表'!$G$9,IF($AD40='3-2.所得算出参照表'!$B$10,'3-2.所得算出参照表'!$G$10)))))))</f>
        <v>550000</v>
      </c>
      <c r="AF40" s="123">
        <f t="shared" si="4"/>
        <v>480000</v>
      </c>
      <c r="AG40" s="118">
        <f t="shared" si="21"/>
        <v>0</v>
      </c>
      <c r="AH40" s="165">
        <f>VLOOKUP($AG40,'3-2.所得算出参照表'!$N$4:$O$11,2,TRUE)</f>
        <v>0</v>
      </c>
      <c r="AI40" s="118">
        <f>VLOOKUP($AG40,'3-2.所得算出参照表'!$P$4:$Q$11,2,TRUE)</f>
        <v>0</v>
      </c>
      <c r="AJ40" s="118">
        <f t="shared" si="29"/>
        <v>0</v>
      </c>
      <c r="AK40" s="118">
        <f>$AJ40*'3-2.所得算出参照表'!$D$14</f>
        <v>0</v>
      </c>
      <c r="AL40" s="132">
        <f t="shared" si="30"/>
        <v>0</v>
      </c>
      <c r="AM40" s="140">
        <f>IF($AD40="",0,IF($AD40='3-2.所得算出参照表'!$B$5,'3-2.所得算出参照表'!$E$5,IF('4-1.労働時間延長メニューメイン-1'!$AD40='3-2.所得算出参照表'!$B$6,'4-1.労働時間延長メニューメイン-1'!$K40*'3-2.所得算出参照表'!$E$6+'3-2.所得算出参照表'!$G$6,IF('4-1.労働時間延長メニューメイン-1'!$AD40='3-2.所得算出参照表'!$B$7,'4-1.労働時間延長メニューメイン-1'!$K40*'3-2.所得算出参照表'!$E$7+'3-2.所得算出参照表'!$G$7,IF('4-1.労働時間延長メニューメイン-1'!$AD40='3-2.所得算出参照表'!$B$8,'4-1.労働時間延長メニューメイン-1'!$K40*'3-2.所得算出参照表'!$E$8+'3-2.所得算出参照表'!$G$8,IF('4-1.労働時間延長メニューメイン-1'!$AD40='3-2.所得算出参照表'!$B$9,'4-1.労働時間延長メニューメイン-1'!$K40*'3-2.所得算出参照表'!$E$9+'3-2.所得算出参照表'!$G$9,IF($AD40='3-2.所得算出参照表'!$B$10,'3-2.所得算出参照表'!$G$10)))))))</f>
        <v>550000</v>
      </c>
      <c r="AN40" s="82">
        <f t="shared" si="5"/>
        <v>430000</v>
      </c>
      <c r="AO40" s="128">
        <f t="shared" si="6"/>
        <v>0</v>
      </c>
      <c r="AP40" s="128">
        <f t="shared" si="7"/>
        <v>0</v>
      </c>
      <c r="AQ40" s="129">
        <f t="shared" si="8"/>
        <v>0</v>
      </c>
      <c r="AR40" s="136">
        <f t="shared" si="24"/>
        <v>0</v>
      </c>
      <c r="AS40" s="155">
        <f t="shared" si="9"/>
        <v>0</v>
      </c>
    </row>
    <row r="41" spans="2:45" ht="21.95" customHeight="1" x14ac:dyDescent="0.15">
      <c r="B41" s="111">
        <v>27</v>
      </c>
      <c r="C41" s="612" t="str">
        <f t="shared" si="25"/>
        <v/>
      </c>
      <c r="D41" s="619" t="str">
        <f t="shared" si="10"/>
        <v/>
      </c>
      <c r="E41" s="615" t="str">
        <f t="shared" si="11"/>
        <v/>
      </c>
      <c r="F41" s="614" t="str">
        <f t="shared" si="26"/>
        <v/>
      </c>
      <c r="G41" s="94" t="str">
        <f t="shared" si="27"/>
        <v/>
      </c>
      <c r="H41" s="211" t="str">
        <f t="shared" si="12"/>
        <v/>
      </c>
      <c r="I41" s="107">
        <f t="shared" si="13"/>
        <v>0</v>
      </c>
      <c r="J41" s="101">
        <f t="shared" si="14"/>
        <v>0</v>
      </c>
      <c r="K41" s="108">
        <f t="shared" si="15"/>
        <v>0</v>
      </c>
      <c r="L41" s="103">
        <f t="shared" si="16"/>
        <v>0</v>
      </c>
      <c r="M41" s="104">
        <f>IF($D$4="",0,IF($L41=0,0,VLOOKUP($L41,'3-1.標準報酬月額・保険料表'!$N$8:$O$57,2,TRUE)))</f>
        <v>0</v>
      </c>
      <c r="N41" s="200">
        <f t="shared" si="17"/>
        <v>0</v>
      </c>
      <c r="O41" s="104">
        <f t="shared" si="0"/>
        <v>0</v>
      </c>
      <c r="P41" s="200">
        <f t="shared" si="18"/>
        <v>0</v>
      </c>
      <c r="Q41" s="71">
        <f>IF($D$4="",0,IF($G41&lt;20,0,IF($Q$13="",0,IF($Q$13=2,0,IF($P41&lt;$R$13,0,IF($M41&lt;=620000,VLOOKUP($M41,'3-1.標準報酬月額・保険料表'!$D$8:$L$42,9,FALSE),'3-1.標準報酬月額・保険料表'!$L$42)+ROUNDDOWN($O41*$AA$7,0))))))</f>
        <v>0</v>
      </c>
      <c r="R41" s="60">
        <f>IF($D$4="",0,IF($G41&lt;20,0,IF($O$9="",0,IF($Q$13=2,0,IF($D$10&gt;=$S$13,0,IF($P41&lt;$R$13,0,VLOOKUP($M41,'3-1.標準報酬月額・保険料表'!$D$8:$J$57,6,FALSE)+ROUNDDOWN($O41*$X$7,0)))))))</f>
        <v>0</v>
      </c>
      <c r="S41" s="60">
        <f>IF($D$4="",0,IF($G41&lt;20,0,IF($Q$13="",0,IF($Q$13=2,0,IF($D$10&lt;$S$13,0,IF($P41&lt;$R$13,0,VLOOKUP($M41,'3-1.標準報酬月額・保険料表'!$D$8:$J$57,7,FALSE)+ROUNDDOWN($O41*$Y$7,0)))))))</f>
        <v>0</v>
      </c>
      <c r="T41" s="76">
        <f t="shared" si="19"/>
        <v>0</v>
      </c>
      <c r="U41" s="81">
        <f>IF($D$4="",0,IF($U$13="",0,IF($U$13=1,0,IF($G41&lt;$W$13,0,IF($K41&lt;$V$13,0,IF($M41&lt;=620000,VLOOKUP($M41,'3-1.標準報酬月額・保険料表'!$D$8:$L$42,9,FALSE),'3-1.標準報酬月額・保険料表'!$L$42)+ROUNDDOWN($O41*$AA$7,0))))))</f>
        <v>0</v>
      </c>
      <c r="V41" s="82">
        <f>IF($D$4="",0,IF($U$13="",0,IF($U$13=1,0,IF($G41&lt;$W$13,0,IF($K41&lt;$V$13,0,IF($D$10&gt;=$X$13,0,VLOOKUP($M41,'3-1.標準報酬月額・保険料表'!$D$8:$J$57,6,FALSE)+ROUNDDOWN($O41*$X$7,0)))))))</f>
        <v>0</v>
      </c>
      <c r="W41" s="82">
        <f>IF($D$4="",0,IF($U$13="",0,IF($U$13=1,0,IF($G41&lt;$W$13,0,IF($K41&lt;$V$13,0,IF($D$10&lt;$X$13,0,VLOOKUP($M41,'3-1.標準報酬月額・保険料表'!$D$8:$J$57,7,FALSE)+ROUNDDOWN($O41*$Y$7,0)))))))</f>
        <v>0</v>
      </c>
      <c r="X41" s="83">
        <f t="shared" si="20"/>
        <v>0</v>
      </c>
      <c r="Y41" s="144">
        <f t="shared" si="1"/>
        <v>0</v>
      </c>
      <c r="Z41" s="144">
        <f>IF($D$4="",0,IF($U$13="",0,IF($U$13=1,0,IF(AND($K41&gt;=$V$13,$G41&lt;$W$13),'3-3.国民健康保険料簡易計算'!$Q36,0))))</f>
        <v>0</v>
      </c>
      <c r="AA41" s="144">
        <f t="shared" si="28"/>
        <v>0</v>
      </c>
      <c r="AB41" s="73">
        <f t="shared" si="2"/>
        <v>0</v>
      </c>
      <c r="AC41" s="78">
        <f t="shared" si="3"/>
        <v>0</v>
      </c>
      <c r="AD41" s="162">
        <f>IF($D$4="","",VLOOKUP($K41,'3-2.所得算出参照表'!K$5:L$10,2,TRUE))</f>
        <v>1625000</v>
      </c>
      <c r="AE41" s="163">
        <f>IF($AD41="",0,IF($AD41='3-2.所得算出参照表'!$B$5,'3-2.所得算出参照表'!$E$5,IF('4-1.労働時間延長メニューメイン-1'!$AD41='3-2.所得算出参照表'!$B$6,'4-1.労働時間延長メニューメイン-1'!$K41*'3-2.所得算出参照表'!$E$6+'3-2.所得算出参照表'!$G$6,IF('4-1.労働時間延長メニューメイン-1'!$AD41='3-2.所得算出参照表'!$B$7,'4-1.労働時間延長メニューメイン-1'!$K41*'3-2.所得算出参照表'!$E$7+'3-2.所得算出参照表'!$G$7,IF('4-1.労働時間延長メニューメイン-1'!$AD41='3-2.所得算出参照表'!$B$8,'4-1.労働時間延長メニューメイン-1'!$K41*'3-2.所得算出参照表'!$E$8+'3-2.所得算出参照表'!$G$8,IF('4-1.労働時間延長メニューメイン-1'!$AD41='3-2.所得算出参照表'!$B$9,'4-1.労働時間延長メニューメイン-1'!$K41*'3-2.所得算出参照表'!$E$9+'3-2.所得算出参照表'!$G$9,IF($AD41='3-2.所得算出参照表'!$B$10,'3-2.所得算出参照表'!$G$10)))))))</f>
        <v>550000</v>
      </c>
      <c r="AF41" s="123">
        <f t="shared" si="4"/>
        <v>480000</v>
      </c>
      <c r="AG41" s="118">
        <f t="shared" si="21"/>
        <v>0</v>
      </c>
      <c r="AH41" s="165">
        <f>VLOOKUP($AG41,'3-2.所得算出参照表'!$N$4:$O$11,2,TRUE)</f>
        <v>0</v>
      </c>
      <c r="AI41" s="118">
        <f>VLOOKUP($AG41,'3-2.所得算出参照表'!$P$4:$Q$11,2,TRUE)</f>
        <v>0</v>
      </c>
      <c r="AJ41" s="118">
        <f t="shared" si="29"/>
        <v>0</v>
      </c>
      <c r="AK41" s="118">
        <f>$AJ41*'3-2.所得算出参照表'!$D$14</f>
        <v>0</v>
      </c>
      <c r="AL41" s="132">
        <f t="shared" si="30"/>
        <v>0</v>
      </c>
      <c r="AM41" s="140">
        <f>IF($AD41="",0,IF($AD41='3-2.所得算出参照表'!$B$5,'3-2.所得算出参照表'!$E$5,IF('4-1.労働時間延長メニューメイン-1'!$AD41='3-2.所得算出参照表'!$B$6,'4-1.労働時間延長メニューメイン-1'!$K41*'3-2.所得算出参照表'!$E$6+'3-2.所得算出参照表'!$G$6,IF('4-1.労働時間延長メニューメイン-1'!$AD41='3-2.所得算出参照表'!$B$7,'4-1.労働時間延長メニューメイン-1'!$K41*'3-2.所得算出参照表'!$E$7+'3-2.所得算出参照表'!$G$7,IF('4-1.労働時間延長メニューメイン-1'!$AD41='3-2.所得算出参照表'!$B$8,'4-1.労働時間延長メニューメイン-1'!$K41*'3-2.所得算出参照表'!$E$8+'3-2.所得算出参照表'!$G$8,IF('4-1.労働時間延長メニューメイン-1'!$AD41='3-2.所得算出参照表'!$B$9,'4-1.労働時間延長メニューメイン-1'!$K41*'3-2.所得算出参照表'!$E$9+'3-2.所得算出参照表'!$G$9,IF($AD41='3-2.所得算出参照表'!$B$10,'3-2.所得算出参照表'!$G$10)))))))</f>
        <v>550000</v>
      </c>
      <c r="AN41" s="82">
        <f t="shared" si="5"/>
        <v>430000</v>
      </c>
      <c r="AO41" s="128">
        <f t="shared" si="6"/>
        <v>0</v>
      </c>
      <c r="AP41" s="128">
        <f t="shared" si="7"/>
        <v>0</v>
      </c>
      <c r="AQ41" s="129">
        <f t="shared" si="8"/>
        <v>0</v>
      </c>
      <c r="AR41" s="136">
        <f t="shared" si="24"/>
        <v>0</v>
      </c>
      <c r="AS41" s="155">
        <f t="shared" si="9"/>
        <v>0</v>
      </c>
    </row>
    <row r="42" spans="2:45" ht="21.95" customHeight="1" x14ac:dyDescent="0.15">
      <c r="B42" s="110">
        <v>28</v>
      </c>
      <c r="C42" s="612" t="str">
        <f t="shared" si="25"/>
        <v/>
      </c>
      <c r="D42" s="619" t="str">
        <f t="shared" si="10"/>
        <v/>
      </c>
      <c r="E42" s="615" t="str">
        <f t="shared" si="11"/>
        <v/>
      </c>
      <c r="F42" s="614" t="str">
        <f t="shared" si="26"/>
        <v/>
      </c>
      <c r="G42" s="94" t="str">
        <f t="shared" si="27"/>
        <v/>
      </c>
      <c r="H42" s="211" t="str">
        <f t="shared" si="12"/>
        <v/>
      </c>
      <c r="I42" s="107">
        <f t="shared" si="13"/>
        <v>0</v>
      </c>
      <c r="J42" s="101">
        <f t="shared" si="14"/>
        <v>0</v>
      </c>
      <c r="K42" s="108">
        <f t="shared" si="15"/>
        <v>0</v>
      </c>
      <c r="L42" s="103">
        <f t="shared" si="16"/>
        <v>0</v>
      </c>
      <c r="M42" s="104">
        <f>IF($D$4="",0,IF($L42=0,0,VLOOKUP($L42,'3-1.標準報酬月額・保険料表'!$N$8:$O$57,2,TRUE)))</f>
        <v>0</v>
      </c>
      <c r="N42" s="200">
        <f t="shared" si="17"/>
        <v>0</v>
      </c>
      <c r="O42" s="104">
        <f t="shared" si="0"/>
        <v>0</v>
      </c>
      <c r="P42" s="200">
        <f t="shared" si="18"/>
        <v>0</v>
      </c>
      <c r="Q42" s="71">
        <f>IF($D$4="",0,IF($G42&lt;20,0,IF($Q$13="",0,IF($Q$13=2,0,IF($P42&lt;$R$13,0,IF($M42&lt;=620000,VLOOKUP($M42,'3-1.標準報酬月額・保険料表'!$D$8:$L$42,9,FALSE),'3-1.標準報酬月額・保険料表'!$L$42)+ROUNDDOWN($O42*$AA$7,0))))))</f>
        <v>0</v>
      </c>
      <c r="R42" s="60">
        <f>IF($D$4="",0,IF($G42&lt;20,0,IF($O$9="",0,IF($Q$13=2,0,IF($D$10&gt;=$S$13,0,IF($P42&lt;$R$13,0,VLOOKUP($M42,'3-1.標準報酬月額・保険料表'!$D$8:$J$57,6,FALSE)+ROUNDDOWN($O42*$X$7,0)))))))</f>
        <v>0</v>
      </c>
      <c r="S42" s="60">
        <f>IF($D$4="",0,IF($G42&lt;20,0,IF($Q$13="",0,IF($Q$13=2,0,IF($D$10&lt;$S$13,0,IF($P42&lt;$R$13,0,VLOOKUP($M42,'3-1.標準報酬月額・保険料表'!$D$8:$J$57,7,FALSE)+ROUNDDOWN($O42*$Y$7,0)))))))</f>
        <v>0</v>
      </c>
      <c r="T42" s="76">
        <f t="shared" si="19"/>
        <v>0</v>
      </c>
      <c r="U42" s="81">
        <f>IF($D$4="",0,IF($U$13="",0,IF($U$13=1,0,IF($G42&lt;$W$13,0,IF($K42&lt;$V$13,0,IF($M42&lt;=620000,VLOOKUP($M42,'3-1.標準報酬月額・保険料表'!$D$8:$L$42,9,FALSE),'3-1.標準報酬月額・保険料表'!$L$42)+ROUNDDOWN($O42*$AA$7,0))))))</f>
        <v>0</v>
      </c>
      <c r="V42" s="82">
        <f>IF($D$4="",0,IF($U$13="",0,IF($U$13=1,0,IF($G42&lt;$W$13,0,IF($K42&lt;$V$13,0,IF($D$10&gt;=$X$13,0,VLOOKUP($M42,'3-1.標準報酬月額・保険料表'!$D$8:$J$57,6,FALSE)+ROUNDDOWN($O42*$X$7,0)))))))</f>
        <v>0</v>
      </c>
      <c r="W42" s="82">
        <f>IF($D$4="",0,IF($U$13="",0,IF($U$13=1,0,IF($G42&lt;$W$13,0,IF($K42&lt;$V$13,0,IF($D$10&lt;$X$13,0,VLOOKUP($M42,'3-1.標準報酬月額・保険料表'!$D$8:$J$57,7,FALSE)+ROUNDDOWN($O42*$Y$7,0)))))))</f>
        <v>0</v>
      </c>
      <c r="X42" s="83">
        <f t="shared" si="20"/>
        <v>0</v>
      </c>
      <c r="Y42" s="144">
        <f t="shared" si="1"/>
        <v>0</v>
      </c>
      <c r="Z42" s="144">
        <f>IF($D$4="",0,IF($U$13="",0,IF($U$13=1,0,IF(AND($K42&gt;=$V$13,$G42&lt;$W$13),'3-3.国民健康保険料簡易計算'!$Q37,0))))</f>
        <v>0</v>
      </c>
      <c r="AA42" s="144">
        <f t="shared" si="28"/>
        <v>0</v>
      </c>
      <c r="AB42" s="73">
        <f t="shared" si="2"/>
        <v>0</v>
      </c>
      <c r="AC42" s="78">
        <f t="shared" si="3"/>
        <v>0</v>
      </c>
      <c r="AD42" s="162">
        <f>IF($D$4="","",VLOOKUP($K42,'3-2.所得算出参照表'!K$5:L$10,2,TRUE))</f>
        <v>1625000</v>
      </c>
      <c r="AE42" s="163">
        <f>IF($AD42="",0,IF($AD42='3-2.所得算出参照表'!$B$5,'3-2.所得算出参照表'!$E$5,IF('4-1.労働時間延長メニューメイン-1'!$AD42='3-2.所得算出参照表'!$B$6,'4-1.労働時間延長メニューメイン-1'!$K42*'3-2.所得算出参照表'!$E$6+'3-2.所得算出参照表'!$G$6,IF('4-1.労働時間延長メニューメイン-1'!$AD42='3-2.所得算出参照表'!$B$7,'4-1.労働時間延長メニューメイン-1'!$K42*'3-2.所得算出参照表'!$E$7+'3-2.所得算出参照表'!$G$7,IF('4-1.労働時間延長メニューメイン-1'!$AD42='3-2.所得算出参照表'!$B$8,'4-1.労働時間延長メニューメイン-1'!$K42*'3-2.所得算出参照表'!$E$8+'3-2.所得算出参照表'!$G$8,IF('4-1.労働時間延長メニューメイン-1'!$AD42='3-2.所得算出参照表'!$B$9,'4-1.労働時間延長メニューメイン-1'!$K42*'3-2.所得算出参照表'!$E$9+'3-2.所得算出参照表'!$G$9,IF($AD42='3-2.所得算出参照表'!$B$10,'3-2.所得算出参照表'!$G$10)))))))</f>
        <v>550000</v>
      </c>
      <c r="AF42" s="123">
        <f t="shared" si="4"/>
        <v>480000</v>
      </c>
      <c r="AG42" s="118">
        <f t="shared" si="21"/>
        <v>0</v>
      </c>
      <c r="AH42" s="165">
        <f>VLOOKUP($AG42,'3-2.所得算出参照表'!$N$4:$O$11,2,TRUE)</f>
        <v>0</v>
      </c>
      <c r="AI42" s="118">
        <f>VLOOKUP($AG42,'3-2.所得算出参照表'!$P$4:$Q$11,2,TRUE)</f>
        <v>0</v>
      </c>
      <c r="AJ42" s="118">
        <f t="shared" si="29"/>
        <v>0</v>
      </c>
      <c r="AK42" s="118">
        <f>$AJ42*'3-2.所得算出参照表'!$D$14</f>
        <v>0</v>
      </c>
      <c r="AL42" s="132">
        <f t="shared" si="30"/>
        <v>0</v>
      </c>
      <c r="AM42" s="140">
        <f>IF($AD42="",0,IF($AD42='3-2.所得算出参照表'!$B$5,'3-2.所得算出参照表'!$E$5,IF('4-1.労働時間延長メニューメイン-1'!$AD42='3-2.所得算出参照表'!$B$6,'4-1.労働時間延長メニューメイン-1'!$K42*'3-2.所得算出参照表'!$E$6+'3-2.所得算出参照表'!$G$6,IF('4-1.労働時間延長メニューメイン-1'!$AD42='3-2.所得算出参照表'!$B$7,'4-1.労働時間延長メニューメイン-1'!$K42*'3-2.所得算出参照表'!$E$7+'3-2.所得算出参照表'!$G$7,IF('4-1.労働時間延長メニューメイン-1'!$AD42='3-2.所得算出参照表'!$B$8,'4-1.労働時間延長メニューメイン-1'!$K42*'3-2.所得算出参照表'!$E$8+'3-2.所得算出参照表'!$G$8,IF('4-1.労働時間延長メニューメイン-1'!$AD42='3-2.所得算出参照表'!$B$9,'4-1.労働時間延長メニューメイン-1'!$K42*'3-2.所得算出参照表'!$E$9+'3-2.所得算出参照表'!$G$9,IF($AD42='3-2.所得算出参照表'!$B$10,'3-2.所得算出参照表'!$G$10)))))))</f>
        <v>550000</v>
      </c>
      <c r="AN42" s="82">
        <f t="shared" si="5"/>
        <v>430000</v>
      </c>
      <c r="AO42" s="128">
        <f t="shared" si="6"/>
        <v>0</v>
      </c>
      <c r="AP42" s="128">
        <f t="shared" si="7"/>
        <v>0</v>
      </c>
      <c r="AQ42" s="129">
        <f t="shared" si="8"/>
        <v>0</v>
      </c>
      <c r="AR42" s="136">
        <f t="shared" si="24"/>
        <v>0</v>
      </c>
      <c r="AS42" s="155">
        <f t="shared" si="9"/>
        <v>0</v>
      </c>
    </row>
    <row r="43" spans="2:45" ht="21.95" customHeight="1" x14ac:dyDescent="0.15">
      <c r="B43" s="111">
        <v>29</v>
      </c>
      <c r="C43" s="612" t="str">
        <f t="shared" si="25"/>
        <v/>
      </c>
      <c r="D43" s="619" t="str">
        <f t="shared" si="10"/>
        <v/>
      </c>
      <c r="E43" s="615" t="str">
        <f t="shared" si="11"/>
        <v/>
      </c>
      <c r="F43" s="614" t="str">
        <f t="shared" si="26"/>
        <v/>
      </c>
      <c r="G43" s="94" t="str">
        <f t="shared" si="27"/>
        <v/>
      </c>
      <c r="H43" s="211" t="str">
        <f t="shared" si="12"/>
        <v/>
      </c>
      <c r="I43" s="107">
        <f t="shared" si="13"/>
        <v>0</v>
      </c>
      <c r="J43" s="101">
        <f t="shared" si="14"/>
        <v>0</v>
      </c>
      <c r="K43" s="108">
        <f t="shared" si="15"/>
        <v>0</v>
      </c>
      <c r="L43" s="103">
        <f t="shared" si="16"/>
        <v>0</v>
      </c>
      <c r="M43" s="104">
        <f>IF($D$4="",0,IF($L43=0,0,VLOOKUP($L43,'3-1.標準報酬月額・保険料表'!$N$8:$O$57,2,TRUE)))</f>
        <v>0</v>
      </c>
      <c r="N43" s="200">
        <f t="shared" si="17"/>
        <v>0</v>
      </c>
      <c r="O43" s="104">
        <f t="shared" si="0"/>
        <v>0</v>
      </c>
      <c r="P43" s="200">
        <f t="shared" si="18"/>
        <v>0</v>
      </c>
      <c r="Q43" s="71">
        <f>IF($D$4="",0,IF($G43&lt;20,0,IF($Q$13="",0,IF($Q$13=2,0,IF($P43&lt;$R$13,0,IF($M43&lt;=620000,VLOOKUP($M43,'3-1.標準報酬月額・保険料表'!$D$8:$L$42,9,FALSE),'3-1.標準報酬月額・保険料表'!$L$42)+ROUNDDOWN($O43*$AA$7,0))))))</f>
        <v>0</v>
      </c>
      <c r="R43" s="60">
        <f>IF($D$4="",0,IF($G43&lt;20,0,IF($O$9="",0,IF($Q$13=2,0,IF($D$10&gt;=$S$13,0,IF($P43&lt;$R$13,0,VLOOKUP($M43,'3-1.標準報酬月額・保険料表'!$D$8:$J$57,6,FALSE)+ROUNDDOWN($O43*$X$7,0)))))))</f>
        <v>0</v>
      </c>
      <c r="S43" s="60">
        <f>IF($D$4="",0,IF($G43&lt;20,0,IF($Q$13="",0,IF($Q$13=2,0,IF($D$10&lt;$S$13,0,IF($P43&lt;$R$13,0,VLOOKUP($M43,'3-1.標準報酬月額・保険料表'!$D$8:$J$57,7,FALSE)+ROUNDDOWN($O43*$Y$7,0)))))))</f>
        <v>0</v>
      </c>
      <c r="T43" s="76">
        <f t="shared" si="19"/>
        <v>0</v>
      </c>
      <c r="U43" s="81">
        <f>IF($D$4="",0,IF($U$13="",0,IF($U$13=1,0,IF($G43&lt;$W$13,0,IF($K43&lt;$V$13,0,IF($M43&lt;=620000,VLOOKUP($M43,'3-1.標準報酬月額・保険料表'!$D$8:$L$42,9,FALSE),'3-1.標準報酬月額・保険料表'!$L$42)+ROUNDDOWN($O43*$AA$7,0))))))</f>
        <v>0</v>
      </c>
      <c r="V43" s="82">
        <f>IF($D$4="",0,IF($U$13="",0,IF($U$13=1,0,IF($G43&lt;$W$13,0,IF($K43&lt;$V$13,0,IF($D$10&gt;=$X$13,0,VLOOKUP($M43,'3-1.標準報酬月額・保険料表'!$D$8:$J$57,6,FALSE)+ROUNDDOWN($O43*$X$7,0)))))))</f>
        <v>0</v>
      </c>
      <c r="W43" s="82">
        <f>IF($D$4="",0,IF($U$13="",0,IF($U$13=1,0,IF($G43&lt;$W$13,0,IF($K43&lt;$V$13,0,IF($D$10&lt;$X$13,0,VLOOKUP($M43,'3-1.標準報酬月額・保険料表'!$D$8:$J$57,7,FALSE)+ROUNDDOWN($O43*$Y$7,0)))))))</f>
        <v>0</v>
      </c>
      <c r="X43" s="83">
        <f t="shared" si="20"/>
        <v>0</v>
      </c>
      <c r="Y43" s="144">
        <f t="shared" si="1"/>
        <v>0</v>
      </c>
      <c r="Z43" s="144">
        <f>IF($D$4="",0,IF($U$13="",0,IF($U$13=1,0,IF(AND($K43&gt;=$V$13,$G43&lt;$W$13),'3-3.国民健康保険料簡易計算'!$Q38,0))))</f>
        <v>0</v>
      </c>
      <c r="AA43" s="144">
        <f t="shared" si="28"/>
        <v>0</v>
      </c>
      <c r="AB43" s="73">
        <f t="shared" si="2"/>
        <v>0</v>
      </c>
      <c r="AC43" s="78">
        <f t="shared" si="3"/>
        <v>0</v>
      </c>
      <c r="AD43" s="162">
        <f>IF($D$4="","",VLOOKUP($K43,'3-2.所得算出参照表'!K$5:L$10,2,TRUE))</f>
        <v>1625000</v>
      </c>
      <c r="AE43" s="163">
        <f>IF($AD43="",0,IF($AD43='3-2.所得算出参照表'!$B$5,'3-2.所得算出参照表'!$E$5,IF('4-1.労働時間延長メニューメイン-1'!$AD43='3-2.所得算出参照表'!$B$6,'4-1.労働時間延長メニューメイン-1'!$K43*'3-2.所得算出参照表'!$E$6+'3-2.所得算出参照表'!$G$6,IF('4-1.労働時間延長メニューメイン-1'!$AD43='3-2.所得算出参照表'!$B$7,'4-1.労働時間延長メニューメイン-1'!$K43*'3-2.所得算出参照表'!$E$7+'3-2.所得算出参照表'!$G$7,IF('4-1.労働時間延長メニューメイン-1'!$AD43='3-2.所得算出参照表'!$B$8,'4-1.労働時間延長メニューメイン-1'!$K43*'3-2.所得算出参照表'!$E$8+'3-2.所得算出参照表'!$G$8,IF('4-1.労働時間延長メニューメイン-1'!$AD43='3-2.所得算出参照表'!$B$9,'4-1.労働時間延長メニューメイン-1'!$K43*'3-2.所得算出参照表'!$E$9+'3-2.所得算出参照表'!$G$9,IF($AD43='3-2.所得算出参照表'!$B$10,'3-2.所得算出参照表'!$G$10)))))))</f>
        <v>550000</v>
      </c>
      <c r="AF43" s="123">
        <f t="shared" si="4"/>
        <v>480000</v>
      </c>
      <c r="AG43" s="118">
        <f t="shared" si="21"/>
        <v>0</v>
      </c>
      <c r="AH43" s="165">
        <f>VLOOKUP($AG43,'3-2.所得算出参照表'!$N$4:$O$11,2,TRUE)</f>
        <v>0</v>
      </c>
      <c r="AI43" s="118">
        <f>VLOOKUP($AG43,'3-2.所得算出参照表'!$P$4:$Q$11,2,TRUE)</f>
        <v>0</v>
      </c>
      <c r="AJ43" s="118">
        <f t="shared" si="29"/>
        <v>0</v>
      </c>
      <c r="AK43" s="118">
        <f>$AJ43*'3-2.所得算出参照表'!$D$14</f>
        <v>0</v>
      </c>
      <c r="AL43" s="132">
        <f t="shared" si="30"/>
        <v>0</v>
      </c>
      <c r="AM43" s="140">
        <f>IF($AD43="",0,IF($AD43='3-2.所得算出参照表'!$B$5,'3-2.所得算出参照表'!$E$5,IF('4-1.労働時間延長メニューメイン-1'!$AD43='3-2.所得算出参照表'!$B$6,'4-1.労働時間延長メニューメイン-1'!$K43*'3-2.所得算出参照表'!$E$6+'3-2.所得算出参照表'!$G$6,IF('4-1.労働時間延長メニューメイン-1'!$AD43='3-2.所得算出参照表'!$B$7,'4-1.労働時間延長メニューメイン-1'!$K43*'3-2.所得算出参照表'!$E$7+'3-2.所得算出参照表'!$G$7,IF('4-1.労働時間延長メニューメイン-1'!$AD43='3-2.所得算出参照表'!$B$8,'4-1.労働時間延長メニューメイン-1'!$K43*'3-2.所得算出参照表'!$E$8+'3-2.所得算出参照表'!$G$8,IF('4-1.労働時間延長メニューメイン-1'!$AD43='3-2.所得算出参照表'!$B$9,'4-1.労働時間延長メニューメイン-1'!$K43*'3-2.所得算出参照表'!$E$9+'3-2.所得算出参照表'!$G$9,IF($AD43='3-2.所得算出参照表'!$B$10,'3-2.所得算出参照表'!$G$10)))))))</f>
        <v>550000</v>
      </c>
      <c r="AN43" s="82">
        <f t="shared" si="5"/>
        <v>430000</v>
      </c>
      <c r="AO43" s="128">
        <f t="shared" si="6"/>
        <v>0</v>
      </c>
      <c r="AP43" s="128">
        <f t="shared" si="7"/>
        <v>0</v>
      </c>
      <c r="AQ43" s="129">
        <f t="shared" si="8"/>
        <v>0</v>
      </c>
      <c r="AR43" s="136">
        <f t="shared" si="24"/>
        <v>0</v>
      </c>
      <c r="AS43" s="155">
        <f t="shared" si="9"/>
        <v>0</v>
      </c>
    </row>
    <row r="44" spans="2:45" ht="21.95" customHeight="1" thickBot="1" x14ac:dyDescent="0.2">
      <c r="B44" s="111">
        <v>30</v>
      </c>
      <c r="C44" s="616" t="str">
        <f t="shared" si="25"/>
        <v/>
      </c>
      <c r="D44" s="619" t="str">
        <f t="shared" si="10"/>
        <v/>
      </c>
      <c r="E44" s="615" t="str">
        <f t="shared" si="11"/>
        <v/>
      </c>
      <c r="F44" s="464" t="str">
        <f t="shared" si="26"/>
        <v/>
      </c>
      <c r="G44" s="94" t="str">
        <f t="shared" si="27"/>
        <v/>
      </c>
      <c r="H44" s="211" t="str">
        <f t="shared" si="12"/>
        <v/>
      </c>
      <c r="I44" s="107">
        <f t="shared" si="13"/>
        <v>0</v>
      </c>
      <c r="J44" s="102">
        <f t="shared" si="14"/>
        <v>0</v>
      </c>
      <c r="K44" s="108">
        <f t="shared" si="15"/>
        <v>0</v>
      </c>
      <c r="L44" s="105">
        <f t="shared" si="16"/>
        <v>0</v>
      </c>
      <c r="M44" s="106">
        <f>IF($D$4="",0,IF($L44=0,0,VLOOKUP($L44,'3-1.標準報酬月額・保険料表'!$N$8:$O$57,2,TRUE)))</f>
        <v>0</v>
      </c>
      <c r="N44" s="201">
        <f t="shared" si="17"/>
        <v>0</v>
      </c>
      <c r="O44" s="106">
        <f t="shared" si="0"/>
        <v>0</v>
      </c>
      <c r="P44" s="201">
        <f t="shared" si="18"/>
        <v>0</v>
      </c>
      <c r="Q44" s="72">
        <f>IF($D$4="",0,IF($G44&lt;20,0,IF($Q$13="",0,IF($Q$13=2,0,IF($P44&lt;$R$13,0,IF($M44&lt;=620000,VLOOKUP($M44,'3-1.標準報酬月額・保険料表'!$D$8:$L$42,9,FALSE),'3-1.標準報酬月額・保険料表'!$L$42)+ROUNDDOWN($O44*$AA$7,0))))))</f>
        <v>0</v>
      </c>
      <c r="R44" s="80">
        <f>IF($D$4="",0,IF($G44&lt;20,0,IF($O$9="",0,IF($Q$13=2,0,IF($D$10&gt;=$S$13,0,IF($P44&lt;$R$13,0,VLOOKUP($M44,'3-1.標準報酬月額・保険料表'!$D$8:$J$57,6,FALSE)+ROUNDDOWN($O44*$X$7,0)))))))</f>
        <v>0</v>
      </c>
      <c r="S44" s="80">
        <f>IF($D$4="",0,IF($G44&lt;20,0,IF($Q$13="",0,IF($Q$13=2,0,IF($D$10&lt;$S$13,0,IF($P44&lt;$R$13,0,VLOOKUP($M44,'3-1.標準報酬月額・保険料表'!$D$8:$J$57,7,FALSE)+ROUNDDOWN($O44*$Y$7,0)))))))</f>
        <v>0</v>
      </c>
      <c r="T44" s="77">
        <f t="shared" si="19"/>
        <v>0</v>
      </c>
      <c r="U44" s="84">
        <f>IF($D$4="",0,IF($U$13="",0,IF($U$13=1,0,IF($G44&lt;$W$13,0,IF($K44&lt;$V$13,0,IF($M44&lt;=620000,VLOOKUP($M44,'3-1.標準報酬月額・保険料表'!$D$8:$L$42,9,FALSE),'3-1.標準報酬月額・保険料表'!$L$42)+ROUNDDOWN($O44*$AA$7,0))))))</f>
        <v>0</v>
      </c>
      <c r="V44" s="85">
        <f>IF($D$4="",0,IF($U$13="",0,IF($U$13=1,0,IF($G44&lt;$W$13,0,IF($K44&lt;$V$13,0,IF($D$10&gt;=$X$13,0,VLOOKUP($M44,'3-1.標準報酬月額・保険料表'!$D$8:$J$57,6,FALSE)+ROUNDDOWN($O44*$X$7,0)))))))</f>
        <v>0</v>
      </c>
      <c r="W44" s="85">
        <f>IF($D$4="",0,IF($U$13="",0,IF($U$13=1,0,IF($G44&lt;$W$13,0,IF($K44&lt;$V$13,0,IF($D$10&lt;$X$13,0,VLOOKUP($M44,'3-1.標準報酬月額・保険料表'!$D$8:$J$57,7,FALSE)+ROUNDDOWN($O44*$Y$7,0)))))))</f>
        <v>0</v>
      </c>
      <c r="X44" s="86">
        <f t="shared" si="20"/>
        <v>0</v>
      </c>
      <c r="Y44" s="145">
        <f t="shared" si="1"/>
        <v>0</v>
      </c>
      <c r="Z44" s="145">
        <f>IF($D$4="",0,IF($U$13="",0,IF($U$13=1,0,IF(AND($K44&gt;=$V$13,$G44&lt;$W$13),'3-3.国民健康保険料簡易計算'!$Q39,0))))</f>
        <v>0</v>
      </c>
      <c r="AA44" s="145">
        <f t="shared" si="28"/>
        <v>0</v>
      </c>
      <c r="AB44" s="74">
        <f t="shared" si="2"/>
        <v>0</v>
      </c>
      <c r="AC44" s="79">
        <f t="shared" si="3"/>
        <v>0</v>
      </c>
      <c r="AD44" s="162">
        <f>IF($D$4="","",VLOOKUP($K44,'3-2.所得算出参照表'!K$5:L$10,2,TRUE))</f>
        <v>1625000</v>
      </c>
      <c r="AE44" s="163">
        <f>IF($AD44="",0,IF($AD44='3-2.所得算出参照表'!$B$5,'3-2.所得算出参照表'!$E$5,IF('4-1.労働時間延長メニューメイン-1'!$AD44='3-2.所得算出参照表'!$B$6,'4-1.労働時間延長メニューメイン-1'!$K44*'3-2.所得算出参照表'!$E$6+'3-2.所得算出参照表'!$G$6,IF('4-1.労働時間延長メニューメイン-1'!$AD44='3-2.所得算出参照表'!$B$7,'4-1.労働時間延長メニューメイン-1'!$K44*'3-2.所得算出参照表'!$E$7+'3-2.所得算出参照表'!$G$7,IF('4-1.労働時間延長メニューメイン-1'!$AD44='3-2.所得算出参照表'!$B$8,'4-1.労働時間延長メニューメイン-1'!$K44*'3-2.所得算出参照表'!$E$8+'3-2.所得算出参照表'!$G$8,IF('4-1.労働時間延長メニューメイン-1'!$AD44='3-2.所得算出参照表'!$B$9,'4-1.労働時間延長メニューメイン-1'!$K44*'3-2.所得算出参照表'!$E$9+'3-2.所得算出参照表'!$G$9,IF($AD44='3-2.所得算出参照表'!$B$10,'3-2.所得算出参照表'!$G$10)))))))</f>
        <v>550000</v>
      </c>
      <c r="AF44" s="123">
        <f t="shared" si="4"/>
        <v>480000</v>
      </c>
      <c r="AG44" s="118">
        <f t="shared" si="21"/>
        <v>0</v>
      </c>
      <c r="AH44" s="165">
        <f>VLOOKUP($AG44,'3-2.所得算出参照表'!$N$4:$O$11,2,TRUE)</f>
        <v>0</v>
      </c>
      <c r="AI44" s="118">
        <f>VLOOKUP($AG44,'3-2.所得算出参照表'!$P$4:$Q$11,2,TRUE)</f>
        <v>0</v>
      </c>
      <c r="AJ44" s="118">
        <f t="shared" si="29"/>
        <v>0</v>
      </c>
      <c r="AK44" s="118">
        <f>$AJ44*'3-2.所得算出参照表'!$D$14</f>
        <v>0</v>
      </c>
      <c r="AL44" s="132">
        <f t="shared" si="30"/>
        <v>0</v>
      </c>
      <c r="AM44" s="141">
        <f>IF($AD44="",0,IF($AD44='3-2.所得算出参照表'!$B$5,'3-2.所得算出参照表'!$E$5,IF('4-1.労働時間延長メニューメイン-1'!$AD44='3-2.所得算出参照表'!$B$6,'4-1.労働時間延長メニューメイン-1'!$K44*'3-2.所得算出参照表'!$E$6+'3-2.所得算出参照表'!$G$6,IF('4-1.労働時間延長メニューメイン-1'!$AD44='3-2.所得算出参照表'!$B$7,'4-1.労働時間延長メニューメイン-1'!$K44*'3-2.所得算出参照表'!$E$7+'3-2.所得算出参照表'!$G$7,IF('4-1.労働時間延長メニューメイン-1'!$AD44='3-2.所得算出参照表'!$B$8,'4-1.労働時間延長メニューメイン-1'!$K44*'3-2.所得算出参照表'!$E$8+'3-2.所得算出参照表'!$G$8,IF('4-1.労働時間延長メニューメイン-1'!$AD44='3-2.所得算出参照表'!$B$9,'4-1.労働時間延長メニューメイン-1'!$K44*'3-2.所得算出参照表'!$E$9+'3-2.所得算出参照表'!$G$9,IF($AD44='3-2.所得算出参照表'!$B$10,'3-2.所得算出参照表'!$G$10)))))))</f>
        <v>550000</v>
      </c>
      <c r="AN44" s="85">
        <f t="shared" si="5"/>
        <v>430000</v>
      </c>
      <c r="AO44" s="137">
        <f t="shared" si="6"/>
        <v>0</v>
      </c>
      <c r="AP44" s="137">
        <f t="shared" si="7"/>
        <v>0</v>
      </c>
      <c r="AQ44" s="138">
        <f t="shared" si="8"/>
        <v>0</v>
      </c>
      <c r="AR44" s="139">
        <f>IF($AO44*$AQ$13=0,0,$AO44*$AQ$13-IF($AO44&lt;=$AR$13,($AF44-$AN44)*0.05,IF($AO44&gt;$AR$13,IF($AO44&gt;$AR$13,($AF44-$AN44)-($AO44-$AR$13)*0.05)))+$AP44)</f>
        <v>0</v>
      </c>
      <c r="AS44" s="156">
        <f t="shared" si="9"/>
        <v>0</v>
      </c>
    </row>
    <row r="45" spans="2:45" x14ac:dyDescent="0.15">
      <c r="AQ45" s="142"/>
    </row>
    <row r="46" spans="2:45" x14ac:dyDescent="0.15">
      <c r="AQ46" s="142"/>
    </row>
    <row r="47" spans="2:45" x14ac:dyDescent="0.15">
      <c r="AQ47" s="142"/>
    </row>
  </sheetData>
  <sheetProtection algorithmName="SHA-512" hashValue="kappusoawVYivi6Gp+/2bC13pSbSvs5bmINb8ZltMAXd0IeCvXx/G+ItPVJ36vvGXeIF5GSNio9CO+Q8N9JvHg==" saltValue="aEPIwLVPzMBWUn+ojvrHuQ==" spinCount="100000" sheet="1" objects="1" scenarios="1"/>
  <mergeCells count="26">
    <mergeCell ref="Y11:Y12"/>
    <mergeCell ref="M8:O8"/>
    <mergeCell ref="M9:N9"/>
    <mergeCell ref="M10:N10"/>
    <mergeCell ref="M11:N11"/>
    <mergeCell ref="K4:K5"/>
    <mergeCell ref="L4:L5"/>
    <mergeCell ref="M4:M5"/>
    <mergeCell ref="X4:AB4"/>
    <mergeCell ref="J8:K8"/>
    <mergeCell ref="C5:D5"/>
    <mergeCell ref="BA15:BB15"/>
    <mergeCell ref="BA16:BB16"/>
    <mergeCell ref="AB9:AB10"/>
    <mergeCell ref="BA10:BB10"/>
    <mergeCell ref="AS13:AS14"/>
    <mergeCell ref="AZ13:AZ14"/>
    <mergeCell ref="BA13:BB13"/>
    <mergeCell ref="BA14:BB14"/>
    <mergeCell ref="BA12:BB12"/>
    <mergeCell ref="BA11:BB11"/>
    <mergeCell ref="AZ11:AZ12"/>
    <mergeCell ref="AO5:AP5"/>
    <mergeCell ref="AO8:AP8"/>
    <mergeCell ref="AQ8:AR8"/>
    <mergeCell ref="J4:J5"/>
  </mergeCells>
  <phoneticPr fontId="3"/>
  <conditionalFormatting sqref="K15:K44">
    <cfRule type="expression" dxfId="19" priority="1">
      <formula>K15&gt;=$J$13</formula>
    </cfRule>
    <cfRule type="expression" dxfId="18" priority="2">
      <formula>K15&gt;=J$12</formula>
    </cfRule>
    <cfRule type="expression" dxfId="17" priority="3">
      <formula>K15&gt;$J$11</formula>
    </cfRule>
    <cfRule type="expression" dxfId="16" priority="4">
      <formula>K15&gt;$J$10</formula>
    </cfRule>
    <cfRule type="expression" dxfId="15" priority="5">
      <formula>K15&lt;=$J$9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colBreaks count="3" manualBreakCount="3">
    <brk id="16" max="43" man="1"/>
    <brk id="29" max="43" man="1"/>
    <brk id="39" max="4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151B7-9E1D-464B-8F8C-A40512D45819}">
  <sheetPr>
    <tabColor theme="6" tint="-0.499984740745262"/>
    <pageSetUpPr autoPageBreaks="0"/>
  </sheetPr>
  <dimension ref="B1:W46"/>
  <sheetViews>
    <sheetView showGridLines="0" zoomScaleNormal="100" zoomScaleSheetLayoutView="80" workbookViewId="0">
      <selection activeCell="E18" sqref="E18"/>
    </sheetView>
  </sheetViews>
  <sheetFormatPr defaultRowHeight="14.25" x14ac:dyDescent="0.15"/>
  <cols>
    <col min="1" max="1" width="2.625" style="42" customWidth="1"/>
    <col min="2" max="2" width="6" style="42" customWidth="1"/>
    <col min="3" max="3" width="18.125" style="42" customWidth="1"/>
    <col min="4" max="5" width="16.625" style="42" customWidth="1"/>
    <col min="6" max="6" width="8.625" style="42" customWidth="1"/>
    <col min="7" max="7" width="13.375" style="42" customWidth="1"/>
    <col min="8" max="8" width="13" style="42" customWidth="1"/>
    <col min="9" max="9" width="17.25" style="42" customWidth="1"/>
    <col min="10" max="10" width="17.375" style="42" customWidth="1"/>
    <col min="11" max="11" width="14" style="42" customWidth="1"/>
    <col min="12" max="12" width="10.875" style="42" customWidth="1"/>
    <col min="13" max="13" width="12.375" style="42" customWidth="1"/>
    <col min="14" max="14" width="13.75" style="42" customWidth="1"/>
    <col min="15" max="15" width="12.25" style="42" customWidth="1"/>
    <col min="16" max="17" width="6.875" style="42" hidden="1" customWidth="1"/>
    <col min="18" max="18" width="30.375" style="42" customWidth="1"/>
    <col min="19" max="19" width="9" style="142"/>
    <col min="20" max="20" width="14.25" style="42" customWidth="1"/>
    <col min="21" max="21" width="19.75" style="42" customWidth="1"/>
    <col min="22" max="22" width="31.875" style="42" customWidth="1"/>
    <col min="23" max="23" width="19.75" style="42" customWidth="1"/>
    <col min="24" max="16384" width="9" style="42"/>
  </cols>
  <sheetData>
    <row r="1" spans="2:22" ht="30.75" customHeight="1" x14ac:dyDescent="0.15">
      <c r="C1" s="158"/>
      <c r="D1" s="158"/>
      <c r="E1" s="158"/>
      <c r="F1" s="158"/>
      <c r="G1" s="158"/>
      <c r="H1" s="158"/>
      <c r="I1" s="158"/>
      <c r="J1" s="158"/>
      <c r="K1" s="158"/>
      <c r="L1" s="158"/>
      <c r="M1" s="158"/>
      <c r="N1" s="158"/>
      <c r="O1" s="158"/>
      <c r="P1" s="158"/>
      <c r="Q1" s="158"/>
    </row>
    <row r="2" spans="2:22" ht="38.25" customHeight="1" x14ac:dyDescent="0.15">
      <c r="I2" s="520"/>
      <c r="J2" s="218"/>
    </row>
    <row r="3" spans="2:22" ht="24" customHeight="1" x14ac:dyDescent="0.15">
      <c r="B3" s="521"/>
      <c r="C3" s="521" t="s">
        <v>394</v>
      </c>
      <c r="D3" s="521"/>
      <c r="E3" s="521"/>
      <c r="F3" s="522"/>
      <c r="G3" s="522"/>
      <c r="H3" s="522"/>
      <c r="I3" s="522"/>
      <c r="J3" s="522"/>
      <c r="K3" s="522"/>
      <c r="L3" s="522"/>
      <c r="R3" s="69" t="s">
        <v>189</v>
      </c>
    </row>
    <row r="4" spans="2:22" ht="8.25" customHeight="1" x14ac:dyDescent="0.15">
      <c r="C4" s="523"/>
      <c r="D4" s="523"/>
      <c r="E4" s="523"/>
      <c r="F4" s="523"/>
      <c r="G4" s="523"/>
      <c r="H4" s="523"/>
      <c r="I4" s="523"/>
      <c r="R4" s="507"/>
    </row>
    <row r="5" spans="2:22" ht="24" customHeight="1" x14ac:dyDescent="0.15">
      <c r="C5" s="600" t="s">
        <v>79</v>
      </c>
      <c r="D5" s="546">
        <f>IF('4-1.労働時間延長メニューメイン-1'!$D$4="","",'4-1.労働時間延長メニューメイン-1'!$D$4)</f>
        <v>102</v>
      </c>
      <c r="E5" s="600" t="s">
        <v>110</v>
      </c>
      <c r="F5" s="874" t="str">
        <f>IF('4-1.労働時間延長メニューメイン-1'!$C$6="","",'4-1.労働時間延長メニューメイン-1'!$C$6)&amp;"　　様　"</f>
        <v>ＡＢ　　様　</v>
      </c>
      <c r="G5" s="874"/>
      <c r="K5" s="43"/>
      <c r="L5" s="875" t="s">
        <v>396</v>
      </c>
      <c r="M5" s="876"/>
      <c r="N5" s="876"/>
      <c r="O5" s="876"/>
      <c r="P5" s="876"/>
      <c r="Q5" s="876"/>
      <c r="R5" s="877"/>
    </row>
    <row r="6" spans="2:22" ht="24" customHeight="1" x14ac:dyDescent="0.15">
      <c r="C6" s="601" t="s">
        <v>190</v>
      </c>
      <c r="D6" s="540">
        <f>IF('4-1.労働時間延長メニューメイン-1'!$D7="","",'4-1.労働時間延長メニューメイン-1'!$D7)</f>
        <v>5</v>
      </c>
      <c r="E6" s="602" t="s">
        <v>319</v>
      </c>
      <c r="F6" s="541">
        <f>IF('4-1.労働時間延長メニューメイン-1'!$D9="","",'4-1.労働時間延長メニューメイン-1'!$D9)</f>
        <v>1000</v>
      </c>
      <c r="G6" s="542" t="s">
        <v>331</v>
      </c>
      <c r="H6" s="707" t="s">
        <v>368</v>
      </c>
      <c r="L6" s="878"/>
      <c r="M6" s="879"/>
      <c r="N6" s="879"/>
      <c r="O6" s="879"/>
      <c r="P6" s="879"/>
      <c r="Q6" s="879"/>
      <c r="R6" s="880"/>
      <c r="T6" s="142"/>
    </row>
    <row r="7" spans="2:22" ht="24" customHeight="1" x14ac:dyDescent="0.15">
      <c r="C7" s="601" t="s">
        <v>103</v>
      </c>
      <c r="D7" s="540">
        <f>IF('4-1.労働時間延長メニューメイン-1'!$D8="","",'4-1.労働時間延長メニューメイン-1'!$D8)</f>
        <v>4</v>
      </c>
      <c r="E7" s="389" t="s">
        <v>320</v>
      </c>
      <c r="F7" s="543">
        <f>IF('4-1.労働時間延長メニューメイン-1'!$C$13="","",'4-1.労働時間延長メニューメイン-1'!$C$13)</f>
        <v>40</v>
      </c>
      <c r="G7" s="542" t="s">
        <v>331</v>
      </c>
      <c r="H7" s="707" t="s">
        <v>369</v>
      </c>
      <c r="L7" s="881"/>
      <c r="M7" s="882"/>
      <c r="N7" s="882"/>
      <c r="O7" s="882"/>
      <c r="P7" s="882"/>
      <c r="Q7" s="882"/>
      <c r="R7" s="883"/>
      <c r="T7" s="44"/>
      <c r="U7" s="44"/>
    </row>
    <row r="8" spans="2:22" s="44" customFormat="1" ht="7.5" customHeight="1" thickBot="1" x14ac:dyDescent="0.2">
      <c r="H8" s="222"/>
      <c r="I8" s="524"/>
      <c r="J8" s="525"/>
      <c r="K8" s="42"/>
      <c r="L8" s="42"/>
      <c r="M8" s="503"/>
      <c r="N8" s="504"/>
      <c r="O8" s="42"/>
      <c r="P8" s="42"/>
      <c r="Q8" s="42"/>
      <c r="S8" s="545"/>
      <c r="T8" s="42"/>
      <c r="U8" s="42"/>
    </row>
    <row r="9" spans="2:22" ht="65.25" customHeight="1" thickBot="1" x14ac:dyDescent="0.2">
      <c r="B9" s="582" t="s">
        <v>18</v>
      </c>
      <c r="C9" s="621" t="s">
        <v>321</v>
      </c>
      <c r="D9" s="630" t="s">
        <v>383</v>
      </c>
      <c r="E9" s="630" t="s">
        <v>384</v>
      </c>
      <c r="F9" s="626" t="s">
        <v>385</v>
      </c>
      <c r="G9" s="586" t="s">
        <v>49</v>
      </c>
      <c r="H9" s="586" t="s">
        <v>106</v>
      </c>
      <c r="I9" s="606" t="s">
        <v>322</v>
      </c>
      <c r="J9" s="587" t="s">
        <v>282</v>
      </c>
      <c r="K9" s="588" t="s">
        <v>370</v>
      </c>
      <c r="L9" s="589" t="s">
        <v>91</v>
      </c>
      <c r="M9" s="590" t="s">
        <v>161</v>
      </c>
      <c r="N9" s="591" t="s">
        <v>119</v>
      </c>
      <c r="O9" s="591" t="s">
        <v>329</v>
      </c>
      <c r="P9" s="530" t="s">
        <v>16</v>
      </c>
      <c r="Q9" s="530" t="s">
        <v>16</v>
      </c>
      <c r="R9" s="531" t="s">
        <v>386</v>
      </c>
      <c r="T9" s="872" t="s">
        <v>340</v>
      </c>
      <c r="U9" s="873"/>
      <c r="V9" s="639"/>
    </row>
    <row r="10" spans="2:22" ht="13.5" hidden="1" customHeight="1" thickBot="1" x14ac:dyDescent="0.2">
      <c r="B10" s="511"/>
      <c r="C10" s="622"/>
      <c r="D10" s="631"/>
      <c r="E10" s="631"/>
      <c r="F10" s="627"/>
      <c r="G10" s="512"/>
      <c r="H10" s="512"/>
      <c r="I10" s="513"/>
      <c r="J10" s="514">
        <v>0</v>
      </c>
      <c r="K10" s="515"/>
      <c r="L10" s="515"/>
      <c r="M10" s="515"/>
      <c r="N10" s="516"/>
      <c r="O10" s="517"/>
      <c r="P10" s="519"/>
      <c r="Q10" s="636"/>
      <c r="R10" s="532"/>
      <c r="T10" s="506"/>
      <c r="U10" s="510"/>
      <c r="V10" s="640"/>
    </row>
    <row r="11" spans="2:22" ht="23.1" customHeight="1" thickBot="1" x14ac:dyDescent="0.2">
      <c r="B11" s="583">
        <v>1</v>
      </c>
      <c r="C11" s="623">
        <f>IF('4-1.労働時間延長メニューメイン-1'!$C15="","",'4-1.労働時間延長メニューメイン-1'!$C15)</f>
        <v>1040</v>
      </c>
      <c r="D11" s="634">
        <f>IF('4-1.労働時間延長メニューメイン-1'!$D15="","",'4-1.労働時間延長メニューメイン-1'!$D15)</f>
        <v>0</v>
      </c>
      <c r="E11" s="632">
        <f>IF('4-1.労働時間延長メニューメイン-1'!$E15="","",'4-1.労働時間延長メニューメイン-1'!$E15)</f>
        <v>1040</v>
      </c>
      <c r="F11" s="628">
        <f>IF('4-1.労働時間延長メニューメイン-1'!$F15="","",'4-1.労働時間延長メニューメイン-1'!$F15)</f>
        <v>0</v>
      </c>
      <c r="G11" s="603">
        <f>IF('4-1.労働時間延長メニューメイン-1'!$G15="","",'4-1.労働時間延長メニューメイン-1'!$G15)</f>
        <v>20</v>
      </c>
      <c r="H11" s="535">
        <f>IF($C11="","",IF('4-1.労働時間延長メニューメイン-1'!$I15="","",'4-1.労働時間延長メニューメイン-1'!$I15))</f>
        <v>90380.952380952382</v>
      </c>
      <c r="I11" s="536">
        <f>IF($C11="","",IF('4-1.労働時間延長メニューメイン-1'!$J15="","",'4-1.労働時間延長メニューメイン-1'!$J15))</f>
        <v>92380.952380952382</v>
      </c>
      <c r="J11" s="592">
        <f>IF($C11="","",IF('4-1.労働時間延長メニューメイン-1'!$K15="","",'4-1.労働時間延長メニューメイン-1'!$K15))</f>
        <v>1108571.4285714286</v>
      </c>
      <c r="K11" s="593">
        <f>IF($C11="","",IF('4-1.労働時間延長メニューメイン-1'!$AC15="","",'4-1.労働時間延長メニューメイン-1'!$AC15))</f>
        <v>6651.4285714285716</v>
      </c>
      <c r="L11" s="535">
        <f>IF($C11="","",IF('4-1.労働時間延長メニューメイン-1'!$AL15="","",'4-1.労働時間延長メニューメイン-1'!$AL15))</f>
        <v>3600</v>
      </c>
      <c r="M11" s="594">
        <f>IF($C11="","",IF('4-1.労働時間延長メニューメイン-1'!$AR15="","",'4-1.労働時間延長メニューメイン-1'!$AR15))</f>
        <v>15100</v>
      </c>
      <c r="N11" s="592">
        <f>IF($C11="","",IF('4-1.労働時間延長メニューメイン-1'!$AS15="","",'4-1.労働時間延長メニューメイン-1'!$AS15))</f>
        <v>1083220</v>
      </c>
      <c r="O11" s="518" t="s">
        <v>328</v>
      </c>
      <c r="P11" s="544" t="str">
        <f t="shared" ref="P11:P40" si="0">IF($D$5="","",IF(AND($U$18=3,$G11&gt;=20),$T$16,IF(AND(OR($U$18=1,$U$18=2),$G11&gt;=30),$T$16,IF(AND(OR($U$18=1,$U$18=2),$J10&lt;1300000,$J11&gt;=1300000),$T$17,""))))</f>
        <v/>
      </c>
      <c r="Q11" s="544" t="str">
        <f t="shared" ref="Q11:Q40" si="1">IF($H11&lt;88000,"",$P11)</f>
        <v/>
      </c>
      <c r="R11" s="534" t="str">
        <f t="shared" ref="R11" si="2">IF($Q11=$Q10,"",$Q11)</f>
        <v/>
      </c>
      <c r="T11" s="526">
        <v>1000000</v>
      </c>
      <c r="U11" s="527" t="s">
        <v>324</v>
      </c>
      <c r="V11" s="641" t="s">
        <v>332</v>
      </c>
    </row>
    <row r="12" spans="2:22" ht="23.1" customHeight="1" x14ac:dyDescent="0.15">
      <c r="B12" s="584">
        <v>2</v>
      </c>
      <c r="C12" s="624">
        <f>IF('4-1.労働時間延長メニューメイン-1'!$C16="","",'4-1.労働時間延長メニューメイン-1'!$C16)</f>
        <v>1040</v>
      </c>
      <c r="D12" s="635">
        <f>IF('4-1.労働時間延長メニューメイン-1'!$D16="","",'4-1.労働時間延長メニューメイン-1'!$D16)</f>
        <v>0</v>
      </c>
      <c r="E12" s="633">
        <f>IF('4-1.労働時間延長メニューメイン-1'!$E16="","",'4-1.労働時間延長メニューメイン-1'!$E16)</f>
        <v>1040</v>
      </c>
      <c r="F12" s="629">
        <f>IF('4-1.労働時間延長メニューメイン-1'!$F16="","",'4-1.労働時間延長メニューメイン-1'!$F16)</f>
        <v>1</v>
      </c>
      <c r="G12" s="604">
        <f>IF('4-1.労働時間延長メニューメイン-1'!$G16="","",'4-1.労働時間延長メニューメイン-1'!$G16)</f>
        <v>21</v>
      </c>
      <c r="H12" s="537">
        <f>IF($C12="","",IF('4-1.労働時間延長メニューメイン-1'!$I16="","",'4-1.労働時間延長メニューメイン-1'!$I16))</f>
        <v>94900</v>
      </c>
      <c r="I12" s="538">
        <f>IF($C12="","",IF('4-1.労働時間延長メニューメイン-1'!$J16="","",'4-1.労働時間延長メニューメイン-1'!$J16))</f>
        <v>96900</v>
      </c>
      <c r="J12" s="592">
        <f>IF($C12="","",IF('4-1.労働時間延長メニューメイン-1'!$K16="","",'4-1.労働時間延長メニューメイン-1'!$K16))</f>
        <v>1162800</v>
      </c>
      <c r="K12" s="595">
        <f>IF($C12="","",IF('4-1.労働時間延長メニューメイン-1'!$AC16="","",'4-1.労働時間延長メニューメイン-1'!$AC16))</f>
        <v>6976.8</v>
      </c>
      <c r="L12" s="596">
        <f>IF($C12="","",IF('4-1.労働時間延長メニューメイン-1'!$AL16="","",'4-1.労働時間延長メニューメイン-1'!$AL16))</f>
        <v>6300</v>
      </c>
      <c r="M12" s="597">
        <f>IF($C12="","",IF('4-1.労働時間延長メニューメイン-1'!$AR16="","",'4-1.労働時間延長メニューメイン-1'!$AR16))</f>
        <v>20500</v>
      </c>
      <c r="N12" s="592">
        <f>IF($C12="","",IF('4-1.労働時間延長メニューメイン-1'!$AS16="","",'4-1.労働時間延長メニューメイン-1'!$AS16))</f>
        <v>1129023.2</v>
      </c>
      <c r="O12" s="596">
        <f>IF($C12="","",IF($N12=0,0,$N12-$N11))</f>
        <v>45803.199999999953</v>
      </c>
      <c r="P12" s="544" t="str">
        <f t="shared" si="0"/>
        <v/>
      </c>
      <c r="Q12" s="544" t="str">
        <f t="shared" si="1"/>
        <v/>
      </c>
      <c r="R12" s="534" t="str">
        <f t="shared" ref="R12:R40" si="3">IF($Q12=$Q11,"",$Q12)</f>
        <v/>
      </c>
      <c r="T12" s="509">
        <v>1000000</v>
      </c>
      <c r="U12" s="528" t="s">
        <v>325</v>
      </c>
      <c r="V12" s="641" t="s">
        <v>332</v>
      </c>
    </row>
    <row r="13" spans="2:22" ht="23.1" customHeight="1" x14ac:dyDescent="0.15">
      <c r="B13" s="585">
        <v>3</v>
      </c>
      <c r="C13" s="624">
        <f>IF('4-1.労働時間延長メニューメイン-1'!$C17="","",'4-1.労働時間延長メニューメイン-1'!$C17)</f>
        <v>1040</v>
      </c>
      <c r="D13" s="635">
        <f>IF('4-1.労働時間延長メニューメイン-1'!$D17="","",'4-1.労働時間延長メニューメイン-1'!$D17)</f>
        <v>0</v>
      </c>
      <c r="E13" s="633">
        <f>IF('4-1.労働時間延長メニューメイン-1'!$E17="","",'4-1.労働時間延長メニューメイン-1'!$E17)</f>
        <v>1040</v>
      </c>
      <c r="F13" s="629">
        <f>IF('4-1.労働時間延長メニューメイン-1'!$F17="","",'4-1.労働時間延長メニューメイン-1'!$F17)</f>
        <v>2</v>
      </c>
      <c r="G13" s="605">
        <f>IF('4-1.労働時間延長メニューメイン-1'!$G17="","",'4-1.労働時間延長メニューメイン-1'!$G17)</f>
        <v>22</v>
      </c>
      <c r="H13" s="537">
        <f>IF($C13="","",IF('4-1.労働時間延長メニューメイン-1'!$I17="","",'4-1.労働時間延長メニューメイン-1'!$I17))</f>
        <v>99419.047619047618</v>
      </c>
      <c r="I13" s="538">
        <f>IF($C13="","",IF('4-1.労働時間延長メニューメイン-1'!$J17="","",'4-1.労働時間延長メニューメイン-1'!$J17))</f>
        <v>101419.04761904762</v>
      </c>
      <c r="J13" s="592">
        <f>IF($C13="","",IF('4-1.労働時間延長メニューメイン-1'!$K17="","",'4-1.労働時間延長メニューメイン-1'!$K17))</f>
        <v>1217028.5714285714</v>
      </c>
      <c r="K13" s="595">
        <f>IF($C13="","",IF('4-1.労働時間延長メニューメイン-1'!$AC17="","",'4-1.労働時間延長メニューメイン-1'!$AC17))</f>
        <v>7302.1714285714279</v>
      </c>
      <c r="L13" s="596">
        <f>IF($C13="","",IF('4-1.労働時間延長メニューメイン-1'!$AL17="","",'4-1.労働時間延長メニューメイン-1'!$AL17))</f>
        <v>9100</v>
      </c>
      <c r="M13" s="597">
        <f>IF($C13="","",IF('4-1.労働時間延長メニューメイン-1'!$AR17="","",'4-1.労働時間延長メニューメイン-1'!$AR17))</f>
        <v>25900</v>
      </c>
      <c r="N13" s="592">
        <f>IF($C13="","",IF('4-1.労働時間延長メニューメイン-1'!$AS17="","",'4-1.労働時間延長メニューメイン-1'!$AS17))</f>
        <v>1174726.3999999999</v>
      </c>
      <c r="O13" s="596">
        <f t="shared" ref="O13:O40" si="4">IF($C13="","",IF($N13=0,0,$N13-$N12))</f>
        <v>45703.199999999953</v>
      </c>
      <c r="P13" s="544" t="str">
        <f t="shared" si="0"/>
        <v/>
      </c>
      <c r="Q13" s="544" t="str">
        <f t="shared" si="1"/>
        <v/>
      </c>
      <c r="R13" s="534" t="str">
        <f t="shared" si="3"/>
        <v/>
      </c>
      <c r="T13" s="509">
        <v>1030000</v>
      </c>
      <c r="U13" s="529" t="s">
        <v>327</v>
      </c>
      <c r="V13" s="641" t="s">
        <v>333</v>
      </c>
    </row>
    <row r="14" spans="2:22" ht="23.1" customHeight="1" x14ac:dyDescent="0.15">
      <c r="B14" s="584">
        <v>4</v>
      </c>
      <c r="C14" s="624">
        <f>IF('4-1.労働時間延長メニューメイン-1'!$C18="","",'4-1.労働時間延長メニューメイン-1'!$C18)</f>
        <v>1040</v>
      </c>
      <c r="D14" s="635">
        <f>IF('4-1.労働時間延長メニューメイン-1'!$D18="","",'4-1.労働時間延長メニューメイン-1'!$D18)</f>
        <v>0</v>
      </c>
      <c r="E14" s="633">
        <f>IF('4-1.労働時間延長メニューメイン-1'!$E18="","",'4-1.労働時間延長メニューメイン-1'!$E18)</f>
        <v>1040</v>
      </c>
      <c r="F14" s="629">
        <f>IF('4-1.労働時間延長メニューメイン-1'!$F18="","",'4-1.労働時間延長メニューメイン-1'!$F18)</f>
        <v>3</v>
      </c>
      <c r="G14" s="605">
        <f>IF('4-1.労働時間延長メニューメイン-1'!$G18="","",'4-1.労働時間延長メニューメイン-1'!$G18)</f>
        <v>23</v>
      </c>
      <c r="H14" s="537">
        <f>IF($C14="","",IF('4-1.労働時間延長メニューメイン-1'!$I18="","",'4-1.労働時間延長メニューメイン-1'!$I18))</f>
        <v>103938.09523809522</v>
      </c>
      <c r="I14" s="538">
        <f>IF($C14="","",IF('4-1.労働時間延長メニューメイン-1'!$J18="","",'4-1.労働時間延長メニューメイン-1'!$J18))</f>
        <v>105938.09523809522</v>
      </c>
      <c r="J14" s="592">
        <f>IF($C14="","",IF('4-1.労働時間延長メニューメイン-1'!$K18="","",'4-1.労働時間延長メニューメイン-1'!$K18))</f>
        <v>1271257.1428571427</v>
      </c>
      <c r="K14" s="595">
        <f>IF($C14="","",IF('4-1.労働時間延長メニューメイン-1'!$AC18="","",'4-1.労働時間延長メニューメイン-1'!$AC18))</f>
        <v>7627.5428571428565</v>
      </c>
      <c r="L14" s="596">
        <f>IF($C14="","",IF('4-1.労働時間延長メニューメイン-1'!$AL18="","",'4-1.労働時間延長メニューメイン-1'!$AL18))</f>
        <v>11800</v>
      </c>
      <c r="M14" s="597">
        <f>IF($C14="","",IF('4-1.労働時間延長メニューメイン-1'!$AR18="","",'4-1.労働時間延長メニューメイン-1'!$AR18))</f>
        <v>31300</v>
      </c>
      <c r="N14" s="592">
        <f>IF($C14="","",IF('4-1.労働時間延長メニューメイン-1'!$AS18="","",'4-1.労働時間延長メニューメイン-1'!$AS18))</f>
        <v>1220529.5999999999</v>
      </c>
      <c r="O14" s="567">
        <f t="shared" si="4"/>
        <v>45803.199999999953</v>
      </c>
      <c r="P14" s="544" t="str">
        <f t="shared" si="0"/>
        <v/>
      </c>
      <c r="Q14" s="544" t="str">
        <f t="shared" si="1"/>
        <v/>
      </c>
      <c r="R14" s="534" t="str">
        <f t="shared" si="3"/>
        <v/>
      </c>
      <c r="T14" s="509">
        <v>1060000</v>
      </c>
      <c r="U14" s="508" t="s">
        <v>335</v>
      </c>
      <c r="V14" s="641" t="s">
        <v>336</v>
      </c>
    </row>
    <row r="15" spans="2:22" ht="23.1" customHeight="1" thickBot="1" x14ac:dyDescent="0.2">
      <c r="B15" s="585">
        <v>5</v>
      </c>
      <c r="C15" s="624">
        <f>IF('4-1.労働時間延長メニューメイン-1'!$C19="","",'4-1.労働時間延長メニューメイン-1'!$C19)</f>
        <v>1040</v>
      </c>
      <c r="D15" s="635">
        <f>IF('4-1.労働時間延長メニューメイン-1'!$D19="","",'4-1.労働時間延長メニューメイン-1'!$D19)</f>
        <v>0</v>
      </c>
      <c r="E15" s="633">
        <f>IF('4-1.労働時間延長メニューメイン-1'!$E19="","",'4-1.労働時間延長メニューメイン-1'!$E19)</f>
        <v>1040</v>
      </c>
      <c r="F15" s="629">
        <f>IF('4-1.労働時間延長メニューメイン-1'!$F19="","",'4-1.労働時間延長メニューメイン-1'!$F19)</f>
        <v>4</v>
      </c>
      <c r="G15" s="605">
        <f>IF('4-1.労働時間延長メニューメイン-1'!$G19="","",'4-1.労働時間延長メニューメイン-1'!$G19)</f>
        <v>24</v>
      </c>
      <c r="H15" s="537">
        <f>IF($C15="","",IF('4-1.労働時間延長メニューメイン-1'!$I19="","",'4-1.労働時間延長メニューメイン-1'!$I19))</f>
        <v>108457.14285714284</v>
      </c>
      <c r="I15" s="538">
        <f>IF($C15="","",IF('4-1.労働時間延長メニューメイン-1'!$J19="","",'4-1.労働時間延長メニューメイン-1'!$J19))</f>
        <v>110457.14285714284</v>
      </c>
      <c r="J15" s="592">
        <f>IF($C15="","",IF('4-1.労働時間延長メニューメイン-1'!$K19="","",'4-1.労働時間延長メニューメイン-1'!$K19))</f>
        <v>1325485.7142857141</v>
      </c>
      <c r="K15" s="595">
        <f>IF($C15="","",IF('4-1.労働時間延長メニューメイン-1'!$AC19="","",'4-1.労働時間延長メニューメイン-1'!$AC19))</f>
        <v>311621.91428571427</v>
      </c>
      <c r="L15" s="596">
        <f>IF($C15="","",IF('4-1.労働時間延長メニューメイン-1'!$AL19="","",'4-1.労働時間延長メニューメイン-1'!$AL19))</f>
        <v>0</v>
      </c>
      <c r="M15" s="597">
        <f>IF($C15="","",IF('4-1.労働時間延長メニューメイン-1'!$AR19="","",'4-1.労働時間延長メニューメイン-1'!$AR19))</f>
        <v>6300</v>
      </c>
      <c r="N15" s="592">
        <f>IF($C15="","",IF('4-1.労働時間延長メニューメイン-1'!$AS19="","",'4-1.労働時間延長メニューメイン-1'!$AS19))</f>
        <v>1007563.7999999998</v>
      </c>
      <c r="O15" s="567">
        <f t="shared" si="4"/>
        <v>-212965.80000000005</v>
      </c>
      <c r="P15" s="544" t="str">
        <f t="shared" si="0"/>
        <v>国保・国年に加入！</v>
      </c>
      <c r="Q15" s="544" t="str">
        <f t="shared" si="1"/>
        <v>国保・国年に加入！</v>
      </c>
      <c r="R15" s="534" t="str">
        <f t="shared" si="3"/>
        <v>国保・国年に加入！</v>
      </c>
      <c r="T15" s="642">
        <v>1300000</v>
      </c>
      <c r="U15" s="643" t="s">
        <v>326</v>
      </c>
      <c r="V15" s="644" t="s">
        <v>334</v>
      </c>
    </row>
    <row r="16" spans="2:22" ht="23.1" customHeight="1" x14ac:dyDescent="0.15">
      <c r="B16" s="585">
        <v>6</v>
      </c>
      <c r="C16" s="624">
        <f>IF('4-1.労働時間延長メニューメイン-1'!$C20="","",'4-1.労働時間延長メニューメイン-1'!$C20)</f>
        <v>1040</v>
      </c>
      <c r="D16" s="635">
        <f>IF('4-1.労働時間延長メニューメイン-1'!$D20="","",'4-1.労働時間延長メニューメイン-1'!$D20)</f>
        <v>0</v>
      </c>
      <c r="E16" s="633">
        <f>IF('4-1.労働時間延長メニューメイン-1'!$E20="","",'4-1.労働時間延長メニューメイン-1'!$E20)</f>
        <v>1040</v>
      </c>
      <c r="F16" s="629">
        <f>IF('4-1.労働時間延長メニューメイン-1'!$F20="","",'4-1.労働時間延長メニューメイン-1'!$F20)</f>
        <v>5</v>
      </c>
      <c r="G16" s="605">
        <f>IF('4-1.労働時間延長メニューメイン-1'!$G20="","",'4-1.労働時間延長メニューメイン-1'!$G20)</f>
        <v>25</v>
      </c>
      <c r="H16" s="537">
        <f>IF($C16="","",IF('4-1.労働時間延長メニューメイン-1'!$I20="","",'4-1.労働時間延長メニューメイン-1'!$I20))</f>
        <v>112976.19047619049</v>
      </c>
      <c r="I16" s="538">
        <f>IF($C16="","",IF('4-1.労働時間延長メニューメイン-1'!$J20="","",'4-1.労働時間延長メニューメイン-1'!$J20))</f>
        <v>114976.19047619049</v>
      </c>
      <c r="J16" s="592">
        <f>IF($C16="","",IF('4-1.労働時間延長メニューメイン-1'!$K20="","",'4-1.労働時間延長メニューメイン-1'!$K20))</f>
        <v>1379714.2857142859</v>
      </c>
      <c r="K16" s="595">
        <f>IF($C16="","",IF('4-1.労働時間延長メニューメイン-1'!$AC20="","",'4-1.労働時間延長メニューメイン-1'!$AC20))</f>
        <v>317587.28571428574</v>
      </c>
      <c r="L16" s="596">
        <f>IF($C16="","",IF('4-1.労働時間延長メニューメイン-1'!$AL20="","",'4-1.労働時間延長メニューメイン-1'!$AL20))</f>
        <v>1600</v>
      </c>
      <c r="M16" s="597">
        <f>IF($C16="","",IF('4-1.労働時間延長メニューメイン-1'!$AR20="","",'4-1.労働時間延長メニューメイン-1'!$AR20))</f>
        <v>11200</v>
      </c>
      <c r="N16" s="592">
        <f>IF($C16="","",IF('4-1.労働時間延長メニューメイン-1'!$AS20="","",'4-1.労働時間延長メニューメイン-1'!$AS20))</f>
        <v>1049327.0000000002</v>
      </c>
      <c r="O16" s="567">
        <f t="shared" si="4"/>
        <v>41763.200000000419</v>
      </c>
      <c r="P16" s="544" t="str">
        <f t="shared" si="0"/>
        <v/>
      </c>
      <c r="Q16" s="544" t="str">
        <f t="shared" si="1"/>
        <v/>
      </c>
      <c r="R16" s="534" t="str">
        <f t="shared" si="3"/>
        <v/>
      </c>
      <c r="S16" s="545"/>
      <c r="T16" s="637" t="s">
        <v>338</v>
      </c>
      <c r="U16" s="638"/>
    </row>
    <row r="17" spans="2:23" ht="23.1" customHeight="1" thickBot="1" x14ac:dyDescent="0.2">
      <c r="B17" s="585">
        <v>7</v>
      </c>
      <c r="C17" s="624">
        <f>IF('4-1.労働時間延長メニューメイン-1'!$C21="","",'4-1.労働時間延長メニューメイン-1'!$C21)</f>
        <v>1040</v>
      </c>
      <c r="D17" s="635">
        <f>IF('4-1.労働時間延長メニューメイン-1'!$D21="","",'4-1.労働時間延長メニューメイン-1'!$D21)</f>
        <v>0</v>
      </c>
      <c r="E17" s="633">
        <f>IF('4-1.労働時間延長メニューメイン-1'!$E21="","",'4-1.労働時間延長メニューメイン-1'!$E21)</f>
        <v>1040</v>
      </c>
      <c r="F17" s="629">
        <f>IF('4-1.労働時間延長メニューメイン-1'!$F21="","",'4-1.労働時間延長メニューメイン-1'!$F21)</f>
        <v>6</v>
      </c>
      <c r="G17" s="605">
        <f>IF('4-1.労働時間延長メニューメイン-1'!$G21="","",'4-1.労働時間延長メニューメイン-1'!$G21)</f>
        <v>26</v>
      </c>
      <c r="H17" s="537">
        <f>IF($C17="","",IF('4-1.労働時間延長メニューメイン-1'!$I21="","",'4-1.労働時間延長メニューメイン-1'!$I21))</f>
        <v>117495.23809523811</v>
      </c>
      <c r="I17" s="538">
        <f>IF($C17="","",IF('4-1.労働時間延長メニューメイン-1'!$J21="","",'4-1.労働時間延長メニューメイン-1'!$J21))</f>
        <v>119495.23809523811</v>
      </c>
      <c r="J17" s="592">
        <f>IF($C17="","",IF('4-1.労働時間延長メニューメイン-1'!$K21="","",'4-1.労働時間延長メニューメイン-1'!$K21))</f>
        <v>1433942.8571428573</v>
      </c>
      <c r="K17" s="595">
        <f>IF($C17="","",IF('4-1.労働時間延長メニューメイン-1'!$AC21="","",'4-1.労働時間延長メニューメイン-1'!$AC21))</f>
        <v>323552.65714285715</v>
      </c>
      <c r="L17" s="596">
        <f>IF($C17="","",IF('4-1.労働時間延長メニューメイン-1'!$AL21="","",'4-1.労働時間延長メニューメイン-1'!$AL21))</f>
        <v>4000</v>
      </c>
      <c r="M17" s="597">
        <f>IF($C17="","",IF('4-1.労働時間延長メニューメイン-1'!$AR21="","",'4-1.労働時間延長メニューメイン-1'!$AR21))</f>
        <v>16000</v>
      </c>
      <c r="N17" s="592">
        <f>IF($C17="","",IF('4-1.労働時間延長メニューメイン-1'!$AS21="","",'4-1.労働時間延長メニューメイン-1'!$AS21))</f>
        <v>1090390.2000000002</v>
      </c>
      <c r="O17" s="567">
        <f t="shared" si="4"/>
        <v>41063.199999999953</v>
      </c>
      <c r="P17" s="544" t="str">
        <f t="shared" si="0"/>
        <v/>
      </c>
      <c r="Q17" s="544" t="str">
        <f t="shared" si="1"/>
        <v/>
      </c>
      <c r="R17" s="534" t="str">
        <f t="shared" si="3"/>
        <v/>
      </c>
      <c r="S17" s="545"/>
      <c r="T17" s="555" t="s">
        <v>339</v>
      </c>
      <c r="U17" s="557"/>
    </row>
    <row r="18" spans="2:23" ht="23.1" customHeight="1" thickBot="1" x14ac:dyDescent="0.2">
      <c r="B18" s="584">
        <v>8</v>
      </c>
      <c r="C18" s="624">
        <f>IF('4-1.労働時間延長メニューメイン-1'!$C22="","",'4-1.労働時間延長メニューメイン-1'!$C22)</f>
        <v>1040</v>
      </c>
      <c r="D18" s="635">
        <f>IF('4-1.労働時間延長メニューメイン-1'!$D22="","",'4-1.労働時間延長メニューメイン-1'!$D22)</f>
        <v>0</v>
      </c>
      <c r="E18" s="633">
        <f>IF('4-1.労働時間延長メニューメイン-1'!$E22="","",'4-1.労働時間延長メニューメイン-1'!$E22)</f>
        <v>1040</v>
      </c>
      <c r="F18" s="629">
        <f>IF('4-1.労働時間延長メニューメイン-1'!$F22="","",'4-1.労働時間延長メニューメイン-1'!$F22)</f>
        <v>7</v>
      </c>
      <c r="G18" s="605">
        <f>IF('4-1.労働時間延長メニューメイン-1'!$G22="","",'4-1.労働時間延長メニューメイン-1'!$G22)</f>
        <v>27</v>
      </c>
      <c r="H18" s="537">
        <f>IF($C18="","",IF('4-1.労働時間延長メニューメイン-1'!$I22="","",'4-1.労働時間延長メニューメイン-1'!$I22))</f>
        <v>122014.28571428572</v>
      </c>
      <c r="I18" s="538">
        <f>IF($C18="","",IF('4-1.労働時間延長メニューメイン-1'!$J22="","",'4-1.労働時間延長メニューメイン-1'!$J22))</f>
        <v>124014.28571428572</v>
      </c>
      <c r="J18" s="592">
        <f>IF($C18="","",IF('4-1.労働時間延長メニューメイン-1'!$K22="","",'4-1.労働時間延長メニューメイン-1'!$K22))</f>
        <v>1488171.4285714286</v>
      </c>
      <c r="K18" s="595">
        <f>IF($C18="","",IF('4-1.労働時間延長メニューメイン-1'!$AC22="","",'4-1.労働時間延長メニューメイン-1'!$AC22))</f>
        <v>329518.02857142856</v>
      </c>
      <c r="L18" s="596">
        <f>IF($C18="","",IF('4-1.労働時間延長メニューメイン-1'!$AL22="","",'4-1.労働時間延長メニューメイン-1'!$AL22))</f>
        <v>6500</v>
      </c>
      <c r="M18" s="597">
        <f>IF($C18="","",IF('4-1.労働時間延長メニューメイン-1'!$AR22="","",'4-1.労働時間延長メニューメイン-1'!$AR22))</f>
        <v>20800</v>
      </c>
      <c r="N18" s="592">
        <f>IF($C18="","",IF('4-1.労働時間延長メニューメイン-1'!$AS22="","",'4-1.労働時間延長メニューメイン-1'!$AS22))</f>
        <v>1131353.4000000001</v>
      </c>
      <c r="O18" s="567">
        <f t="shared" si="4"/>
        <v>40963.199999999953</v>
      </c>
      <c r="P18" s="544" t="str">
        <f t="shared" si="0"/>
        <v/>
      </c>
      <c r="Q18" s="544" t="str">
        <f t="shared" si="1"/>
        <v/>
      </c>
      <c r="R18" s="534" t="str">
        <f t="shared" si="3"/>
        <v/>
      </c>
      <c r="S18" s="545"/>
      <c r="T18" s="556" t="s">
        <v>337</v>
      </c>
      <c r="U18" s="558">
        <f>IF('4-1.労働時間延長メニューメイン-1'!$J$2="","",'4-1.労働時間延長メニューメイン-1'!$J$2)</f>
        <v>2</v>
      </c>
    </row>
    <row r="19" spans="2:23" ht="23.1" customHeight="1" x14ac:dyDescent="0.15">
      <c r="B19" s="585">
        <v>9</v>
      </c>
      <c r="C19" s="624">
        <f>IF('4-1.労働時間延長メニューメイン-1'!$C23="","",'4-1.労働時間延長メニューメイン-1'!$C23)</f>
        <v>1040</v>
      </c>
      <c r="D19" s="635">
        <f>IF('4-1.労働時間延長メニューメイン-1'!$D23="","",'4-1.労働時間延長メニューメイン-1'!$D23)</f>
        <v>0</v>
      </c>
      <c r="E19" s="633">
        <f>IF('4-1.労働時間延長メニューメイン-1'!$E23="","",'4-1.労働時間延長メニューメイン-1'!$E23)</f>
        <v>1040</v>
      </c>
      <c r="F19" s="629">
        <f>IF('4-1.労働時間延長メニューメイン-1'!$F23="","",'4-1.労働時間延長メニューメイン-1'!$F23)</f>
        <v>8</v>
      </c>
      <c r="G19" s="605">
        <f>IF('4-1.労働時間延長メニューメイン-1'!$G23="","",'4-1.労働時間延長メニューメイン-1'!$G23)</f>
        <v>28</v>
      </c>
      <c r="H19" s="537">
        <f>IF($C19="","",IF('4-1.労働時間延長メニューメイン-1'!$I23="","",'4-1.労働時間延長メニューメイン-1'!$I23))</f>
        <v>126533.33333333333</v>
      </c>
      <c r="I19" s="538">
        <f>IF($C19="","",IF('4-1.労働時間延長メニューメイン-1'!$J23="","",'4-1.労働時間延長メニューメイン-1'!$J23))</f>
        <v>128533.33333333333</v>
      </c>
      <c r="J19" s="592">
        <f>IF($C19="","",IF('4-1.労働時間延長メニューメイン-1'!$K23="","",'4-1.労働時間延長メニューメイン-1'!$K23))</f>
        <v>1542400</v>
      </c>
      <c r="K19" s="595">
        <f>IF($C19="","",IF('4-1.労働時間延長メニューメイン-1'!$AC23="","",'4-1.労働時間延長メニューメイン-1'!$AC23))</f>
        <v>335483.40000000002</v>
      </c>
      <c r="L19" s="596">
        <f>IF($C19="","",IF('4-1.労働時間延長メニューメイン-1'!$AL23="","",'4-1.労働時間延長メニューメイン-1'!$AL23))</f>
        <v>8900</v>
      </c>
      <c r="M19" s="597">
        <f>IF($C19="","",IF('4-1.労働時間延長メニューメイン-1'!$AR23="","",'4-1.労働時間延長メニューメイン-1'!$AR23))</f>
        <v>25600</v>
      </c>
      <c r="N19" s="592">
        <f>IF($C19="","",IF('4-1.労働時間延長メニューメイン-1'!$AS23="","",'4-1.労働時間延長メニューメイン-1'!$AS23))</f>
        <v>1172416.6000000001</v>
      </c>
      <c r="O19" s="567">
        <f t="shared" si="4"/>
        <v>41063.199999999953</v>
      </c>
      <c r="P19" s="544" t="str">
        <f t="shared" si="0"/>
        <v/>
      </c>
      <c r="Q19" s="544" t="str">
        <f t="shared" si="1"/>
        <v/>
      </c>
      <c r="R19" s="534" t="str">
        <f t="shared" si="3"/>
        <v/>
      </c>
      <c r="T19" s="554"/>
    </row>
    <row r="20" spans="2:23" ht="23.1" customHeight="1" x14ac:dyDescent="0.15">
      <c r="B20" s="585">
        <v>10</v>
      </c>
      <c r="C20" s="624">
        <f>IF('4-1.労働時間延長メニューメイン-1'!$C24="","",'4-1.労働時間延長メニューメイン-1'!$C24)</f>
        <v>1040</v>
      </c>
      <c r="D20" s="635">
        <f>IF('4-1.労働時間延長メニューメイン-1'!$D24="","",'4-1.労働時間延長メニューメイン-1'!$D24)</f>
        <v>0</v>
      </c>
      <c r="E20" s="633">
        <f>IF('4-1.労働時間延長メニューメイン-1'!$E24="","",'4-1.労働時間延長メニューメイン-1'!$E24)</f>
        <v>1040</v>
      </c>
      <c r="F20" s="629">
        <f>IF('4-1.労働時間延長メニューメイン-1'!$F24="","",'4-1.労働時間延長メニューメイン-1'!$F24)</f>
        <v>9</v>
      </c>
      <c r="G20" s="605">
        <f>IF('4-1.労働時間延長メニューメイン-1'!$G24="","",'4-1.労働時間延長メニューメイン-1'!$G24)</f>
        <v>29</v>
      </c>
      <c r="H20" s="537">
        <f>IF($C20="","",IF('4-1.労働時間延長メニューメイン-1'!$I24="","",'4-1.労働時間延長メニューメイン-1'!$I24))</f>
        <v>131052.38095238095</v>
      </c>
      <c r="I20" s="538">
        <f>IF($C20="","",IF('4-1.労働時間延長メニューメイン-1'!$J24="","",'4-1.労働時間延長メニューメイン-1'!$J24))</f>
        <v>133052.38095238095</v>
      </c>
      <c r="J20" s="592">
        <f>IF($C20="","",IF('4-1.労働時間延長メニューメイン-1'!$K24="","",'4-1.労働時間延長メニューメイン-1'!$K24))</f>
        <v>1596628.5714285714</v>
      </c>
      <c r="K20" s="595">
        <f>IF($C20="","",IF('4-1.労働時間延長メニューメイン-1'!$AC24="","",'4-1.労働時間延長メニューメイン-1'!$AC24))</f>
        <v>341447.77142857143</v>
      </c>
      <c r="L20" s="596">
        <f>IF($C20="","",IF('4-1.労働時間延長メニューメイン-1'!$AL24="","",'4-1.労働時間延長メニューメイン-1'!$AL24))</f>
        <v>11400</v>
      </c>
      <c r="M20" s="597">
        <f>IF($C20="","",IF('4-1.労働時間延長メニューメイン-1'!$AR24="","",'4-1.労働時間延長メニューメイン-1'!$AR24))</f>
        <v>30500</v>
      </c>
      <c r="N20" s="592">
        <f>IF($C20="","",IF('4-1.労働時間延長メニューメイン-1'!$AS24="","",'4-1.労働時間延長メニューメイン-1'!$AS24))</f>
        <v>1213280.7999999998</v>
      </c>
      <c r="O20" s="567">
        <f t="shared" si="4"/>
        <v>40864.199999999721</v>
      </c>
      <c r="P20" s="544" t="str">
        <f t="shared" si="0"/>
        <v/>
      </c>
      <c r="Q20" s="544" t="str">
        <f t="shared" si="1"/>
        <v/>
      </c>
      <c r="R20" s="534" t="str">
        <f t="shared" si="3"/>
        <v/>
      </c>
      <c r="T20" s="533"/>
      <c r="U20" s="44"/>
      <c r="V20" s="44"/>
      <c r="W20" s="44"/>
    </row>
    <row r="21" spans="2:23" ht="23.1" customHeight="1" x14ac:dyDescent="0.15">
      <c r="B21" s="585">
        <v>11</v>
      </c>
      <c r="C21" s="624">
        <f>IF('4-1.労働時間延長メニューメイン-1'!$C25="","",'4-1.労働時間延長メニューメイン-1'!$C25)</f>
        <v>1040</v>
      </c>
      <c r="D21" s="635">
        <f>IF('4-1.労働時間延長メニューメイン-1'!$D25="","",'4-1.労働時間延長メニューメイン-1'!$D25)</f>
        <v>0</v>
      </c>
      <c r="E21" s="633">
        <f>IF('4-1.労働時間延長メニューメイン-1'!$E25="","",'4-1.労働時間延長メニューメイン-1'!$E25)</f>
        <v>1040</v>
      </c>
      <c r="F21" s="629">
        <f>IF('4-1.労働時間延長メニューメイン-1'!$F25="","",'4-1.労働時間延長メニューメイン-1'!$F25)</f>
        <v>10</v>
      </c>
      <c r="G21" s="605">
        <f>IF('4-1.労働時間延長メニューメイン-1'!$G25="","",'4-1.労働時間延長メニューメイン-1'!$G25)</f>
        <v>30</v>
      </c>
      <c r="H21" s="537">
        <f>IF($C21="","",IF('4-1.労働時間延長メニューメイン-1'!$I25="","",'4-1.労働時間延長メニューメイン-1'!$I25))</f>
        <v>135571.42857142855</v>
      </c>
      <c r="I21" s="538">
        <f>IF($C21="","",IF('4-1.労働時間延長メニューメイン-1'!$J25="","",'4-1.労働時間延長メニューメイン-1'!$J25))</f>
        <v>137571.42857142855</v>
      </c>
      <c r="J21" s="592">
        <f>IF($C21="","",IF('4-1.労働時間延長メニューメイン-1'!$K25="","",'4-1.労働時間延長メニューメイン-1'!$K25))</f>
        <v>1650857.1428571427</v>
      </c>
      <c r="K21" s="595">
        <f>IF($C21="","",IF('4-1.労働時間延長メニューメイン-1'!$AC25="","",'4-1.労働時間延長メニューメイン-1'!$AC25))</f>
        <v>253491.94285714289</v>
      </c>
      <c r="L21" s="596">
        <f>IF($C21="","",IF('4-1.労働時間延長メニューメイン-1'!$AL25="","",'4-1.労働時間延長メニューメイン-1'!$AL25))</f>
        <v>18200</v>
      </c>
      <c r="M21" s="597">
        <f>IF($C21="","",IF('4-1.労働時間延長メニューメイン-1'!$AR25="","",'4-1.労働時間延長メニューメイン-1'!$AR25))</f>
        <v>43700</v>
      </c>
      <c r="N21" s="592">
        <f>IF($C21="","",IF('4-1.労働時間延長メニューメイン-1'!$AS25="","",'4-1.労働時間延長メニューメイン-1'!$AS25))</f>
        <v>1335465.1999999997</v>
      </c>
      <c r="O21" s="567">
        <f t="shared" si="4"/>
        <v>122184.39999999991</v>
      </c>
      <c r="P21" s="544" t="str">
        <f t="shared" si="0"/>
        <v>会社の社会保険に加入！</v>
      </c>
      <c r="Q21" s="544" t="str">
        <f t="shared" si="1"/>
        <v>会社の社会保険に加入！</v>
      </c>
      <c r="R21" s="534" t="str">
        <f t="shared" si="3"/>
        <v>会社の社会保険に加入！</v>
      </c>
      <c r="T21" s="533"/>
      <c r="U21" s="44"/>
      <c r="V21" s="44"/>
    </row>
    <row r="22" spans="2:23" ht="23.1" customHeight="1" x14ac:dyDescent="0.15">
      <c r="B22" s="584">
        <v>12</v>
      </c>
      <c r="C22" s="624">
        <f>IF('4-1.労働時間延長メニューメイン-1'!$C26="","",'4-1.労働時間延長メニューメイン-1'!$C26)</f>
        <v>1040</v>
      </c>
      <c r="D22" s="635">
        <f>IF('4-1.労働時間延長メニューメイン-1'!$D26="","",'4-1.労働時間延長メニューメイン-1'!$D26)</f>
        <v>0</v>
      </c>
      <c r="E22" s="633">
        <f>IF('4-1.労働時間延長メニューメイン-1'!$E26="","",'4-1.労働時間延長メニューメイン-1'!$E26)</f>
        <v>1040</v>
      </c>
      <c r="F22" s="629">
        <f>IF('4-1.労働時間延長メニューメイン-1'!$F26="","",'4-1.労働時間延長メニューメイン-1'!$F26)</f>
        <v>11</v>
      </c>
      <c r="G22" s="605">
        <f>IF('4-1.労働時間延長メニューメイン-1'!$G26="","",'4-1.労働時間延長メニューメイン-1'!$G26)</f>
        <v>31</v>
      </c>
      <c r="H22" s="537">
        <f>IF($C22="","",IF('4-1.労働時間延長メニューメイン-1'!$I26="","",'4-1.労働時間延長メニューメイン-1'!$I26))</f>
        <v>140090.47619047618</v>
      </c>
      <c r="I22" s="538">
        <f>IF($C22="","",IF('4-1.労働時間延長メニューメイン-1'!$J26="","",'4-1.労働時間延長メニューメイン-1'!$J26))</f>
        <v>142090.47619047618</v>
      </c>
      <c r="J22" s="592">
        <f>IF($C22="","",IF('4-1.労働時間延長メニューメイン-1'!$K26="","",'4-1.労働時間延長メニューメイン-1'!$K26))</f>
        <v>1705085.7142857141</v>
      </c>
      <c r="K22" s="595">
        <f>IF($C22="","",IF('4-1.労働時間延長メニューメイン-1'!$AC26="","",'4-1.労働時間延長メニューメイン-1'!$AC26))</f>
        <v>253817.3142857143</v>
      </c>
      <c r="L22" s="596">
        <f>IF($C22="","",IF('4-1.労働時間延長メニューメイン-1'!$AL26="","",'4-1.労働時間延長メニューメイン-1'!$AL26))</f>
        <v>19800</v>
      </c>
      <c r="M22" s="597">
        <f>IF($C22="","",IF('4-1.労働時間延長メニューメイン-1'!$AR26="","",'4-1.労働時間延長メニューメイン-1'!$AR26))</f>
        <v>46900</v>
      </c>
      <c r="N22" s="592">
        <f>IF($C22="","",IF('4-1.労働時間延長メニューメイン-1'!$AS26="","",'4-1.労働時間延長メニューメイン-1'!$AS26))</f>
        <v>1384568.4</v>
      </c>
      <c r="O22" s="567">
        <f t="shared" si="4"/>
        <v>49103.200000000186</v>
      </c>
      <c r="P22" s="544" t="str">
        <f t="shared" si="0"/>
        <v>会社の社会保険に加入！</v>
      </c>
      <c r="Q22" s="544" t="str">
        <f t="shared" si="1"/>
        <v>会社の社会保険に加入！</v>
      </c>
      <c r="R22" s="534" t="str">
        <f t="shared" si="3"/>
        <v/>
      </c>
      <c r="U22" s="44"/>
      <c r="V22" s="44"/>
    </row>
    <row r="23" spans="2:23" ht="23.1" customHeight="1" x14ac:dyDescent="0.15">
      <c r="B23" s="585">
        <v>13</v>
      </c>
      <c r="C23" s="624">
        <f>IF('4-1.労働時間延長メニューメイン-1'!$C27="","",'4-1.労働時間延長メニューメイン-1'!$C27)</f>
        <v>1040</v>
      </c>
      <c r="D23" s="635">
        <f>IF('4-1.労働時間延長メニューメイン-1'!$D27="","",'4-1.労働時間延長メニューメイン-1'!$D27)</f>
        <v>0</v>
      </c>
      <c r="E23" s="633">
        <f>IF('4-1.労働時間延長メニューメイン-1'!$E27="","",'4-1.労働時間延長メニューメイン-1'!$E27)</f>
        <v>1040</v>
      </c>
      <c r="F23" s="629">
        <f>IF('4-1.労働時間延長メニューメイン-1'!$F27="","",'4-1.労働時間延長メニューメイン-1'!$F27)</f>
        <v>12</v>
      </c>
      <c r="G23" s="605">
        <f>IF('4-1.労働時間延長メニューメイン-1'!$G27="","",'4-1.労働時間延長メニューメイン-1'!$G27)</f>
        <v>32</v>
      </c>
      <c r="H23" s="537">
        <f>IF($C23="","",IF('4-1.労働時間延長メニューメイン-1'!$I27="","",'4-1.労働時間延長メニューメイン-1'!$I27))</f>
        <v>144609.52380952382</v>
      </c>
      <c r="I23" s="538">
        <f>IF($C23="","",IF('4-1.労働時間延長メニューメイン-1'!$J27="","",'4-1.労働時間延長メニューメイン-1'!$J27))</f>
        <v>146609.52380952382</v>
      </c>
      <c r="J23" s="592">
        <f>IF($C23="","",IF('4-1.労働時間延長メニューメイン-1'!$K27="","",'4-1.労働時間延長メニューメイン-1'!$K27))</f>
        <v>1759314.2857142859</v>
      </c>
      <c r="K23" s="595">
        <f>IF($C23="","",IF('4-1.労働時間延長メニューメイン-1'!$AC27="","",'4-1.労働時間延長メニューメイン-1'!$AC27))</f>
        <v>267865.88571428572</v>
      </c>
      <c r="L23" s="596">
        <f>IF($C23="","",IF('4-1.労働時間延長メニューメイン-1'!$AL27="","",'4-1.労働時間延長メニューメイン-1'!$AL27))</f>
        <v>20700</v>
      </c>
      <c r="M23" s="597">
        <f>IF($C23="","",IF('4-1.労働時間延長メニューメイン-1'!$AR27="","",'4-1.労働時間延長メニューメイン-1'!$AR27))</f>
        <v>48700</v>
      </c>
      <c r="N23" s="592">
        <f>IF($C23="","",IF('4-1.労働時間延長メニューメイン-1'!$AS27="","",'4-1.労働時間延長メニューメイン-1'!$AS27))</f>
        <v>1422048.4000000001</v>
      </c>
      <c r="O23" s="567">
        <f t="shared" si="4"/>
        <v>37480.000000000233</v>
      </c>
      <c r="P23" s="544" t="str">
        <f t="shared" si="0"/>
        <v>会社の社会保険に加入！</v>
      </c>
      <c r="Q23" s="544" t="str">
        <f t="shared" si="1"/>
        <v>会社の社会保険に加入！</v>
      </c>
      <c r="R23" s="534" t="str">
        <f t="shared" si="3"/>
        <v/>
      </c>
      <c r="S23" s="215"/>
      <c r="T23" s="44"/>
      <c r="U23" s="44"/>
      <c r="V23" s="44"/>
    </row>
    <row r="24" spans="2:23" ht="23.1" customHeight="1" x14ac:dyDescent="0.15">
      <c r="B24" s="585">
        <v>14</v>
      </c>
      <c r="C24" s="624">
        <f>IF('4-1.労働時間延長メニューメイン-1'!$C28="","",'4-1.労働時間延長メニューメイン-1'!$C28)</f>
        <v>1040</v>
      </c>
      <c r="D24" s="635">
        <f>IF('4-1.労働時間延長メニューメイン-1'!$D28="","",'4-1.労働時間延長メニューメイン-1'!$D28)</f>
        <v>0</v>
      </c>
      <c r="E24" s="633">
        <f>IF('4-1.労働時間延長メニューメイン-1'!$E28="","",'4-1.労働時間延長メニューメイン-1'!$E28)</f>
        <v>1040</v>
      </c>
      <c r="F24" s="629">
        <f>IF('4-1.労働時間延長メニューメイン-1'!$F28="","",'4-1.労働時間延長メニューメイン-1'!$F28)</f>
        <v>13</v>
      </c>
      <c r="G24" s="605">
        <f>IF('4-1.労働時間延長メニューメイン-1'!$G28="","",'4-1.労働時間延長メニューメイン-1'!$G28)</f>
        <v>33</v>
      </c>
      <c r="H24" s="537">
        <f>IF($C24="","",IF('4-1.労働時間延長メニューメイン-1'!$I28="","",'4-1.労働時間延長メニューメイン-1'!$I28))</f>
        <v>149128.57142857145</v>
      </c>
      <c r="I24" s="538">
        <f>IF($C24="","",IF('4-1.労働時間延長メニューメイン-1'!$J28="","",'4-1.労働時間延長メニューメイン-1'!$J28))</f>
        <v>151128.57142857145</v>
      </c>
      <c r="J24" s="592">
        <f>IF($C24="","",IF('4-1.労働時間延長メニューメイン-1'!$K28="","",'4-1.労働時間延長メニューメイン-1'!$K28))</f>
        <v>1813542.8571428573</v>
      </c>
      <c r="K24" s="595">
        <f>IF($C24="","",IF('4-1.労働時間延長メニューメイン-1'!$AC28="","",'4-1.労働時間延長メニューメイン-1'!$AC28))</f>
        <v>268191.25714285712</v>
      </c>
      <c r="L24" s="596">
        <f>IF($C24="","",IF('4-1.労働時間延長メニューメイン-1'!$AL28="","",'4-1.労働時間延長メニューメイン-1'!$AL28))</f>
        <v>22500</v>
      </c>
      <c r="M24" s="597">
        <f>IF($C24="","",IF('4-1.労働時間延長メニューメイン-1'!$AR28="","",'4-1.労働時間延長メニューメイン-1'!$AR28))</f>
        <v>52100</v>
      </c>
      <c r="N24" s="592">
        <f>IF($C24="","",IF('4-1.労働時間延長メニューメイン-1'!$AS28="","",'4-1.労働時間延長メニューメイン-1'!$AS28))</f>
        <v>1470751.6</v>
      </c>
      <c r="O24" s="567">
        <f t="shared" si="4"/>
        <v>48703.199999999953</v>
      </c>
      <c r="P24" s="544" t="str">
        <f t="shared" si="0"/>
        <v>会社の社会保険に加入！</v>
      </c>
      <c r="Q24" s="544" t="str">
        <f t="shared" si="1"/>
        <v>会社の社会保険に加入！</v>
      </c>
      <c r="R24" s="534" t="str">
        <f t="shared" si="3"/>
        <v/>
      </c>
      <c r="T24" s="44"/>
    </row>
    <row r="25" spans="2:23" ht="23.1" customHeight="1" x14ac:dyDescent="0.15">
      <c r="B25" s="585">
        <v>15</v>
      </c>
      <c r="C25" s="624">
        <f>IF('4-1.労働時間延長メニューメイン-1'!$C29="","",'4-1.労働時間延長メニューメイン-1'!$C29)</f>
        <v>1040</v>
      </c>
      <c r="D25" s="635">
        <f>IF('4-1.労働時間延長メニューメイン-1'!$D29="","",'4-1.労働時間延長メニューメイン-1'!$D29)</f>
        <v>0</v>
      </c>
      <c r="E25" s="633">
        <f>IF('4-1.労働時間延長メニューメイン-1'!$E29="","",'4-1.労働時間延長メニューメイン-1'!$E29)</f>
        <v>1040</v>
      </c>
      <c r="F25" s="629">
        <f>IF('4-1.労働時間延長メニューメイン-1'!$F29="","",'4-1.労働時間延長メニューメイン-1'!$F29)</f>
        <v>14</v>
      </c>
      <c r="G25" s="605">
        <f>IF('4-1.労働時間延長メニューメイン-1'!$G29="","",'4-1.労働時間延長メニューメイン-1'!$G29)</f>
        <v>34</v>
      </c>
      <c r="H25" s="537">
        <f>IF($C25="","",IF('4-1.労働時間延長メニューメイン-1'!$I29="","",'4-1.労働時間延長メニューメイン-1'!$I29))</f>
        <v>153647.61904761905</v>
      </c>
      <c r="I25" s="538">
        <f>IF($C25="","",IF('4-1.労働時間延長メニューメイン-1'!$J29="","",'4-1.労働時間延長メニューメイン-1'!$J29))</f>
        <v>155647.61904761905</v>
      </c>
      <c r="J25" s="592">
        <f>IF($C25="","",IF('4-1.労働時間延長メニューメイン-1'!$K29="","",'4-1.労働時間延長メニューメイン-1'!$K29))</f>
        <v>1867771.4285714286</v>
      </c>
      <c r="K25" s="595">
        <f>IF($C25="","",IF('4-1.労働時間延長メニューメイン-1'!$AC29="","",'4-1.労働時間延長メニューメイン-1'!$AC29))</f>
        <v>285670.62857142859</v>
      </c>
      <c r="L25" s="596">
        <f>IF($C25="","",IF('4-1.労働時間延長メニューメイン-1'!$AL29="","",'4-1.労働時間延長メニューメイン-1'!$AL29))</f>
        <v>23500</v>
      </c>
      <c r="M25" s="597">
        <f>IF($C25="","",IF('4-1.労働時間延長メニューメイン-1'!$AR29="","",'4-1.労働時間延長メニューメイン-1'!$AR29))</f>
        <v>54100</v>
      </c>
      <c r="N25" s="592">
        <f>IF($C25="","",IF('4-1.労働時間延長メニューメイン-1'!$AS29="","",'4-1.労働時間延長メニューメイン-1'!$AS29))</f>
        <v>1504500.8</v>
      </c>
      <c r="O25" s="567">
        <f t="shared" si="4"/>
        <v>33749.199999999953</v>
      </c>
      <c r="P25" s="544" t="str">
        <f t="shared" si="0"/>
        <v>会社の社会保険に加入！</v>
      </c>
      <c r="Q25" s="544" t="str">
        <f t="shared" si="1"/>
        <v>会社の社会保険に加入！</v>
      </c>
      <c r="R25" s="534" t="str">
        <f t="shared" si="3"/>
        <v/>
      </c>
      <c r="T25" s="44"/>
    </row>
    <row r="26" spans="2:23" ht="23.1" customHeight="1" x14ac:dyDescent="0.15">
      <c r="B26" s="584">
        <v>16</v>
      </c>
      <c r="C26" s="624">
        <f>IF('4-1.労働時間延長メニューメイン-1'!$C30="","",'4-1.労働時間延長メニューメイン-1'!$C30)</f>
        <v>1040</v>
      </c>
      <c r="D26" s="635">
        <f>IF('4-1.労働時間延長メニューメイン-1'!$D30="","",'4-1.労働時間延長メニューメイン-1'!$D30)</f>
        <v>0</v>
      </c>
      <c r="E26" s="633">
        <f>IF('4-1.労働時間延長メニューメイン-1'!$E30="","",'4-1.労働時間延長メニューメイン-1'!$E30)</f>
        <v>1040</v>
      </c>
      <c r="F26" s="629">
        <f>IF('4-1.労働時間延長メニューメイン-1'!$F30="","",'4-1.労働時間延長メニューメイン-1'!$F30)</f>
        <v>15</v>
      </c>
      <c r="G26" s="605">
        <f>IF('4-1.労働時間延長メニューメイン-1'!$G30="","",'4-1.労働時間延長メニューメイン-1'!$G30)</f>
        <v>35</v>
      </c>
      <c r="H26" s="537">
        <f>IF($C26="","",IF('4-1.労働時間延長メニューメイン-1'!$I30="","",'4-1.労働時間延長メニューメイン-1'!$I30))</f>
        <v>158166.66666666666</v>
      </c>
      <c r="I26" s="538">
        <f>IF($C26="","",IF('4-1.労働時間延長メニューメイン-1'!$J30="","",'4-1.労働時間延長メニューメイン-1'!$J30))</f>
        <v>160166.66666666666</v>
      </c>
      <c r="J26" s="592">
        <f>IF($C26="","",IF('4-1.労働時間延長メニューメイン-1'!$K30="","",'4-1.労働時間延長メニューメイン-1'!$K30))</f>
        <v>1922000</v>
      </c>
      <c r="K26" s="595">
        <f>IF($C26="","",IF('4-1.労働時間延長メニューメイン-1'!$AC30="","",'4-1.労働時間延長メニューメイン-1'!$AC30))</f>
        <v>285996</v>
      </c>
      <c r="L26" s="596">
        <f>IF($C26="","",IF('4-1.労働時間延長メニューメイン-1'!$AL30="","",'4-1.労働時間延長メニューメイン-1'!$AL30))</f>
        <v>25400</v>
      </c>
      <c r="M26" s="597">
        <f>IF($C26="","",IF('4-1.労働時間延長メニューメイン-1'!$AR30="","",'4-1.労働時間延長メニューメイン-1'!$AR30))</f>
        <v>57900</v>
      </c>
      <c r="N26" s="592">
        <f>IF($C26="","",IF('4-1.労働時間延長メニューメイン-1'!$AS30="","",'4-1.労働時間延長メニューメイン-1'!$AS30))</f>
        <v>1552704</v>
      </c>
      <c r="O26" s="567">
        <f t="shared" si="4"/>
        <v>48203.199999999953</v>
      </c>
      <c r="P26" s="544" t="str">
        <f t="shared" si="0"/>
        <v>会社の社会保険に加入！</v>
      </c>
      <c r="Q26" s="544" t="str">
        <f t="shared" si="1"/>
        <v>会社の社会保険に加入！</v>
      </c>
      <c r="R26" s="534" t="str">
        <f t="shared" si="3"/>
        <v/>
      </c>
      <c r="T26" s="44"/>
    </row>
    <row r="27" spans="2:23" ht="23.1" customHeight="1" x14ac:dyDescent="0.15">
      <c r="B27" s="585">
        <v>17</v>
      </c>
      <c r="C27" s="624">
        <f>IF('4-1.労働時間延長メニューメイン-1'!$C31="","",'4-1.労働時間延長メニューメイン-1'!$C31)</f>
        <v>1040</v>
      </c>
      <c r="D27" s="635">
        <f>IF('4-1.労働時間延長メニューメイン-1'!$D31="","",'4-1.労働時間延長メニューメイン-1'!$D31)</f>
        <v>0</v>
      </c>
      <c r="E27" s="633">
        <f>IF('4-1.労働時間延長メニューメイン-1'!$E31="","",'4-1.労働時間延長メニューメイン-1'!$E31)</f>
        <v>1040</v>
      </c>
      <c r="F27" s="629">
        <f>IF('4-1.労働時間延長メニューメイン-1'!$F31="","",'4-1.労働時間延長メニューメイン-1'!$F31)</f>
        <v>16</v>
      </c>
      <c r="G27" s="605">
        <f>IF('4-1.労働時間延長メニューメイン-1'!$G31="","",'4-1.労働時間延長メニューメイン-1'!$G31)</f>
        <v>36</v>
      </c>
      <c r="H27" s="537">
        <f>IF($C27="","",IF('4-1.労働時間延長メニューメイン-1'!$I31="","",'4-1.労働時間延長メニューメイン-1'!$I31))</f>
        <v>162685.71428571429</v>
      </c>
      <c r="I27" s="538">
        <f>IF($C27="","",IF('4-1.労働時間延長メニューメイン-1'!$J31="","",'4-1.労働時間延長メニューメイン-1'!$J31))</f>
        <v>164685.71428571429</v>
      </c>
      <c r="J27" s="592">
        <f>IF($C27="","",IF('4-1.労働時間延長メニューメイン-1'!$K31="","",'4-1.労働時間延長メニューメイン-1'!$K31))</f>
        <v>1976228.5714285714</v>
      </c>
      <c r="K27" s="595">
        <f>IF($C27="","",IF('4-1.労働時間延長メニューメイン-1'!$AC31="","",'4-1.労働時間延長メニューメイン-1'!$AC31))</f>
        <v>303475.37142857141</v>
      </c>
      <c r="L27" s="596">
        <f>IF($C27="","",IF('4-1.労働時間延長メニューメイン-1'!$AL31="","",'4-1.労働時間延長メニューメイン-1'!$AL31))</f>
        <v>26400</v>
      </c>
      <c r="M27" s="597">
        <f>IF($C27="","",IF('4-1.労働時間延長メニューメイン-1'!$AR31="","",'4-1.労働時間延長メニューメイン-1'!$AR31))</f>
        <v>59900</v>
      </c>
      <c r="N27" s="592">
        <f>IF($C27="","",IF('4-1.労働時間延長メニューメイン-1'!$AS31="","",'4-1.労働時間延長メニューメイン-1'!$AS31))</f>
        <v>1586453.2</v>
      </c>
      <c r="O27" s="567">
        <f t="shared" si="4"/>
        <v>33749.199999999953</v>
      </c>
      <c r="P27" s="544" t="str">
        <f t="shared" si="0"/>
        <v>会社の社会保険に加入！</v>
      </c>
      <c r="Q27" s="544" t="str">
        <f t="shared" si="1"/>
        <v>会社の社会保険に加入！</v>
      </c>
      <c r="R27" s="534" t="str">
        <f t="shared" si="3"/>
        <v/>
      </c>
      <c r="T27" s="44"/>
    </row>
    <row r="28" spans="2:23" ht="23.1" customHeight="1" x14ac:dyDescent="0.15">
      <c r="B28" s="585">
        <v>18</v>
      </c>
      <c r="C28" s="624">
        <f>IF('4-1.労働時間延長メニューメイン-1'!$C32="","",'4-1.労働時間延長メニューメイン-1'!$C32)</f>
        <v>1040</v>
      </c>
      <c r="D28" s="635">
        <f>IF('4-1.労働時間延長メニューメイン-1'!$D32="","",'4-1.労働時間延長メニューメイン-1'!$D32)</f>
        <v>0</v>
      </c>
      <c r="E28" s="633">
        <f>IF('4-1.労働時間延長メニューメイン-1'!$E32="","",'4-1.労働時間延長メニューメイン-1'!$E32)</f>
        <v>1040</v>
      </c>
      <c r="F28" s="629">
        <f>IF('4-1.労働時間延長メニューメイン-1'!$F32="","",'4-1.労働時間延長メニューメイン-1'!$F32)</f>
        <v>17</v>
      </c>
      <c r="G28" s="605">
        <f>IF('4-1.労働時間延長メニューメイン-1'!$G32="","",'4-1.労働時間延長メニューメイン-1'!$G32)</f>
        <v>37</v>
      </c>
      <c r="H28" s="537">
        <f>IF($C28="","",IF('4-1.労働時間延長メニューメイン-1'!$I32="","",'4-1.労働時間延長メニューメイン-1'!$I32))</f>
        <v>167204.76190476189</v>
      </c>
      <c r="I28" s="538">
        <f>IF($C28="","",IF('4-1.労働時間延長メニューメイン-1'!$J32="","",'4-1.労働時間延長メニューメイン-1'!$J32))</f>
        <v>169204.76190476189</v>
      </c>
      <c r="J28" s="592">
        <f>IF($C28="","",IF('4-1.労働時間延長メニューメイン-1'!$K32="","",'4-1.労働時間延長メニューメイン-1'!$K32))</f>
        <v>2030457.1428571427</v>
      </c>
      <c r="K28" s="595">
        <f>IF($C28="","",IF('4-1.労働時間延長メニューメイン-1'!$AC32="","",'4-1.労働時間延長メニューメイン-1'!$AC32))</f>
        <v>303800.74285714288</v>
      </c>
      <c r="L28" s="596">
        <f>IF($C28="","",IF('4-1.労働時間延長メニューメイン-1'!$AL32="","",'4-1.労働時間延長メニューメイン-1'!$AL32))</f>
        <v>28400</v>
      </c>
      <c r="M28" s="597">
        <f>IF($C28="","",IF('4-1.労働時間延長メニューメイン-1'!$AR32="","",'4-1.労働時間延長メニューメイン-1'!$AR32))</f>
        <v>63700</v>
      </c>
      <c r="N28" s="592">
        <f>IF($C28="","",IF('4-1.労働時間延長メニューメイン-1'!$AS32="","",'4-1.労働時間延長メニューメイン-1'!$AS32))</f>
        <v>1634556.4</v>
      </c>
      <c r="O28" s="567">
        <f t="shared" si="4"/>
        <v>48103.199999999953</v>
      </c>
      <c r="P28" s="544" t="str">
        <f t="shared" si="0"/>
        <v>会社の社会保険に加入！</v>
      </c>
      <c r="Q28" s="544" t="str">
        <f t="shared" si="1"/>
        <v>会社の社会保険に加入！</v>
      </c>
      <c r="R28" s="534" t="str">
        <f t="shared" si="3"/>
        <v/>
      </c>
      <c r="T28" s="44"/>
    </row>
    <row r="29" spans="2:23" ht="23.45" customHeight="1" x14ac:dyDescent="0.15">
      <c r="B29" s="585">
        <v>19</v>
      </c>
      <c r="C29" s="624">
        <f>IF('4-1.労働時間延長メニューメイン-1'!$C33="","",'4-1.労働時間延長メニューメイン-1'!$C33)</f>
        <v>1040</v>
      </c>
      <c r="D29" s="635">
        <f>IF('4-1.労働時間延長メニューメイン-1'!$D33="","",'4-1.労働時間延長メニューメイン-1'!$D33)</f>
        <v>0</v>
      </c>
      <c r="E29" s="633">
        <f>IF('4-1.労働時間延長メニューメイン-1'!$E33="","",'4-1.労働時間延長メニューメイン-1'!$E33)</f>
        <v>1040</v>
      </c>
      <c r="F29" s="629">
        <f>IF('4-1.労働時間延長メニューメイン-1'!$F33="","",'4-1.労働時間延長メニューメイン-1'!$F33)</f>
        <v>18</v>
      </c>
      <c r="G29" s="605">
        <f>IF('4-1.労働時間延長メニューメイン-1'!$G33="","",'4-1.労働時間延長メニューメイン-1'!$G33)</f>
        <v>38</v>
      </c>
      <c r="H29" s="537">
        <f>IF($C29="","",IF('4-1.労働時間延長メニューメイン-1'!$I33="","",'4-1.労働時間延長メニューメイン-1'!$I33))</f>
        <v>171723.8095238095</v>
      </c>
      <c r="I29" s="538">
        <f>IF($C29="","",IF('4-1.労働時間延長メニューメイン-1'!$J33="","",'4-1.労働時間延長メニューメイン-1'!$J33))</f>
        <v>173723.8095238095</v>
      </c>
      <c r="J29" s="592">
        <f>IF($C29="","",IF('4-1.労働時間延長メニューメイン-1'!$K33="","",'4-1.労働時間延長メニューメイン-1'!$K33))</f>
        <v>2084685.7142857141</v>
      </c>
      <c r="K29" s="595">
        <f>IF($C29="","",IF('4-1.労働時間延長メニューメイン-1'!$AC33="","",'4-1.労働時間延長メニューメイン-1'!$AC33))</f>
        <v>321280.11428571428</v>
      </c>
      <c r="L29" s="596">
        <f>IF($C29="","",IF('4-1.労働時間延長メニューメイン-1'!$AL33="","",'4-1.労働時間延長メニューメイン-1'!$AL33))</f>
        <v>29400</v>
      </c>
      <c r="M29" s="597">
        <f>IF($C29="","",IF('4-1.労働時間延長メニューメイン-1'!$AR33="","",'4-1.労働時間延長メニューメイン-1'!$AR33))</f>
        <v>65700</v>
      </c>
      <c r="N29" s="592">
        <f>IF($C29="","",IF('4-1.労働時間延長メニューメイン-1'!$AS33="","",'4-1.労働時間延長メニューメイン-1'!$AS33))</f>
        <v>1668305.5999999999</v>
      </c>
      <c r="O29" s="567">
        <f t="shared" si="4"/>
        <v>33749.199999999953</v>
      </c>
      <c r="P29" s="544" t="str">
        <f t="shared" si="0"/>
        <v>会社の社会保険に加入！</v>
      </c>
      <c r="Q29" s="544" t="str">
        <f t="shared" si="1"/>
        <v>会社の社会保険に加入！</v>
      </c>
      <c r="R29" s="534" t="str">
        <f t="shared" si="3"/>
        <v/>
      </c>
      <c r="T29" s="44"/>
    </row>
    <row r="30" spans="2:23" ht="23.45" customHeight="1" x14ac:dyDescent="0.15">
      <c r="B30" s="584">
        <v>20</v>
      </c>
      <c r="C30" s="624">
        <f>IF('4-1.労働時間延長メニューメイン-1'!$C34="","",'4-1.労働時間延長メニューメイン-1'!$C34)</f>
        <v>1040</v>
      </c>
      <c r="D30" s="635">
        <f>IF('4-1.労働時間延長メニューメイン-1'!$D34="","",'4-1.労働時間延長メニューメイン-1'!$D34)</f>
        <v>0</v>
      </c>
      <c r="E30" s="633">
        <f>IF('4-1.労働時間延長メニューメイン-1'!$E34="","",'4-1.労働時間延長メニューメイン-1'!$E34)</f>
        <v>1040</v>
      </c>
      <c r="F30" s="629">
        <f>IF('4-1.労働時間延長メニューメイン-1'!$F34="","",'4-1.労働時間延長メニューメイン-1'!$F34)</f>
        <v>19</v>
      </c>
      <c r="G30" s="605">
        <f>IF('4-1.労働時間延長メニューメイン-1'!$G34="","",'4-1.労働時間延長メニューメイン-1'!$G34)</f>
        <v>39</v>
      </c>
      <c r="H30" s="537">
        <f>IF($C30="","",IF('4-1.労働時間延長メニューメイン-1'!$I34="","",'4-1.労働時間延長メニューメイン-1'!$I34))</f>
        <v>176242.85714285716</v>
      </c>
      <c r="I30" s="538">
        <f>IF($C30="","",IF('4-1.労働時間延長メニューメイン-1'!$J34="","",'4-1.労働時間延長メニューメイン-1'!$J34))</f>
        <v>178242.85714285716</v>
      </c>
      <c r="J30" s="592">
        <f>IF($C30="","",IF('4-1.労働時間延長メニューメイン-1'!$K34="","",'4-1.労働時間延長メニューメイン-1'!$K34))</f>
        <v>2138914.2857142859</v>
      </c>
      <c r="K30" s="595">
        <f>IF($C30="","",IF('4-1.労働時間延長メニューメイン-1'!$AC34="","",'4-1.労働時間延長メニューメイン-1'!$AC34))</f>
        <v>321605.48571428569</v>
      </c>
      <c r="L30" s="596">
        <f>IF($C30="","",IF('4-1.労働時間延長メニューメイン-1'!$AL34="","",'4-1.労働時間延長メニューメイン-1'!$AL34))</f>
        <v>31300</v>
      </c>
      <c r="M30" s="597">
        <f>IF($C30="","",IF('4-1.労働時間延長メニューメイン-1'!$AR34="","",'4-1.労働時間延長メニューメイン-1'!$AR34))</f>
        <v>69500</v>
      </c>
      <c r="N30" s="592">
        <f>IF($C30="","",IF('4-1.労働時間延長メニューメイン-1'!$AS34="","",'4-1.労働時間延長メニューメイン-1'!$AS34))</f>
        <v>1716508.8000000003</v>
      </c>
      <c r="O30" s="567">
        <f t="shared" si="4"/>
        <v>48203.200000000419</v>
      </c>
      <c r="P30" s="544" t="str">
        <f t="shared" si="0"/>
        <v>会社の社会保険に加入！</v>
      </c>
      <c r="Q30" s="544" t="str">
        <f t="shared" si="1"/>
        <v>会社の社会保険に加入！</v>
      </c>
      <c r="R30" s="534" t="str">
        <f t="shared" si="3"/>
        <v/>
      </c>
      <c r="T30" s="44"/>
    </row>
    <row r="31" spans="2:23" ht="23.45" customHeight="1" x14ac:dyDescent="0.15">
      <c r="B31" s="585">
        <v>21</v>
      </c>
      <c r="C31" s="624" t="str">
        <f>IF('4-1.労働時間延長メニューメイン-1'!$C35="","",'4-1.労働時間延長メニューメイン-1'!$C35)</f>
        <v/>
      </c>
      <c r="D31" s="635" t="str">
        <f>IF('4-1.労働時間延長メニューメイン-1'!$D35="","",'4-1.労働時間延長メニューメイン-1'!$D35)</f>
        <v/>
      </c>
      <c r="E31" s="633" t="str">
        <f>IF('4-1.労働時間延長メニューメイン-1'!$E35="","",'4-1.労働時間延長メニューメイン-1'!$E35)</f>
        <v/>
      </c>
      <c r="F31" s="629" t="str">
        <f>IF('4-1.労働時間延長メニューメイン-1'!$F35="","",'4-1.労働時間延長メニューメイン-1'!$F35)</f>
        <v/>
      </c>
      <c r="G31" s="605" t="str">
        <f>IF('4-1.労働時間延長メニューメイン-1'!$G35="","",'4-1.労働時間延長メニューメイン-1'!$G35)</f>
        <v/>
      </c>
      <c r="H31" s="537" t="str">
        <f>IF($C31="","",IF('4-1.労働時間延長メニューメイン-1'!$I35="","",'4-1.労働時間延長メニューメイン-1'!$I35))</f>
        <v/>
      </c>
      <c r="I31" s="538" t="str">
        <f>IF($C31="","",IF('4-1.労働時間延長メニューメイン-1'!$J35="","",'4-1.労働時間延長メニューメイン-1'!$J35))</f>
        <v/>
      </c>
      <c r="J31" s="592" t="str">
        <f>IF($C31="","",IF('4-1.労働時間延長メニューメイン-1'!$K35="","",'4-1.労働時間延長メニューメイン-1'!$K35))</f>
        <v/>
      </c>
      <c r="K31" s="595" t="str">
        <f>IF($C31="","",IF('4-1.労働時間延長メニューメイン-1'!$AC35="","",'4-1.労働時間延長メニューメイン-1'!$AC35))</f>
        <v/>
      </c>
      <c r="L31" s="596" t="str">
        <f>IF($C31="","",IF('4-1.労働時間延長メニューメイン-1'!$AL35="","",'4-1.労働時間延長メニューメイン-1'!$AL35))</f>
        <v/>
      </c>
      <c r="M31" s="597" t="str">
        <f>IF($C31="","",IF('4-1.労働時間延長メニューメイン-1'!$AR35="","",'4-1.労働時間延長メニューメイン-1'!$AR35))</f>
        <v/>
      </c>
      <c r="N31" s="592" t="str">
        <f>IF($C31="","",IF('4-1.労働時間延長メニューメイン-1'!$AS35="","",'4-1.労働時間延長メニューメイン-1'!$AS35))</f>
        <v/>
      </c>
      <c r="O31" s="567" t="str">
        <f t="shared" si="4"/>
        <v/>
      </c>
      <c r="P31" s="544" t="str">
        <f t="shared" si="0"/>
        <v>会社の社会保険に加入！</v>
      </c>
      <c r="Q31" s="544" t="str">
        <f t="shared" si="1"/>
        <v>会社の社会保険に加入！</v>
      </c>
      <c r="R31" s="534" t="str">
        <f t="shared" si="3"/>
        <v/>
      </c>
      <c r="T31" s="44"/>
    </row>
    <row r="32" spans="2:23" ht="23.45" customHeight="1" x14ac:dyDescent="0.15">
      <c r="B32" s="585">
        <v>22</v>
      </c>
      <c r="C32" s="624" t="str">
        <f>IF('4-1.労働時間延長メニューメイン-1'!$C36="","",'4-1.労働時間延長メニューメイン-1'!$C36)</f>
        <v/>
      </c>
      <c r="D32" s="635" t="str">
        <f>IF('4-1.労働時間延長メニューメイン-1'!$D36="","",'4-1.労働時間延長メニューメイン-1'!$D36)</f>
        <v/>
      </c>
      <c r="E32" s="633" t="str">
        <f>IF('4-1.労働時間延長メニューメイン-1'!$E36="","",'4-1.労働時間延長メニューメイン-1'!$E36)</f>
        <v/>
      </c>
      <c r="F32" s="629" t="str">
        <f>IF('4-1.労働時間延長メニューメイン-1'!$F36="","",'4-1.労働時間延長メニューメイン-1'!$F36)</f>
        <v/>
      </c>
      <c r="G32" s="605" t="str">
        <f>IF('4-1.労働時間延長メニューメイン-1'!$G36="","",'4-1.労働時間延長メニューメイン-1'!$G36)</f>
        <v/>
      </c>
      <c r="H32" s="537" t="str">
        <f>IF($C32="","",IF('4-1.労働時間延長メニューメイン-1'!$I36="","",'4-1.労働時間延長メニューメイン-1'!$I36))</f>
        <v/>
      </c>
      <c r="I32" s="538" t="str">
        <f>IF($C32="","",IF('4-1.労働時間延長メニューメイン-1'!$J36="","",'4-1.労働時間延長メニューメイン-1'!$J36))</f>
        <v/>
      </c>
      <c r="J32" s="592" t="str">
        <f>IF($C32="","",IF('4-1.労働時間延長メニューメイン-1'!$K36="","",'4-1.労働時間延長メニューメイン-1'!$K36))</f>
        <v/>
      </c>
      <c r="K32" s="595" t="str">
        <f>IF($C32="","",IF('4-1.労働時間延長メニューメイン-1'!$AC36="","",'4-1.労働時間延長メニューメイン-1'!$AC36))</f>
        <v/>
      </c>
      <c r="L32" s="596" t="str">
        <f>IF($C32="","",IF('4-1.労働時間延長メニューメイン-1'!$AL36="","",'4-1.労働時間延長メニューメイン-1'!$AL36))</f>
        <v/>
      </c>
      <c r="M32" s="597" t="str">
        <f>IF($C32="","",IF('4-1.労働時間延長メニューメイン-1'!$AR36="","",'4-1.労働時間延長メニューメイン-1'!$AR36))</f>
        <v/>
      </c>
      <c r="N32" s="592" t="str">
        <f>IF($C32="","",IF('4-1.労働時間延長メニューメイン-1'!$AS36="","",'4-1.労働時間延長メニューメイン-1'!$AS36))</f>
        <v/>
      </c>
      <c r="O32" s="567" t="str">
        <f t="shared" si="4"/>
        <v/>
      </c>
      <c r="P32" s="544" t="str">
        <f t="shared" si="0"/>
        <v>会社の社会保険に加入！</v>
      </c>
      <c r="Q32" s="544" t="str">
        <f t="shared" si="1"/>
        <v>会社の社会保険に加入！</v>
      </c>
      <c r="R32" s="534" t="str">
        <f t="shared" si="3"/>
        <v/>
      </c>
      <c r="T32" s="44"/>
    </row>
    <row r="33" spans="2:20" ht="23.45" customHeight="1" x14ac:dyDescent="0.15">
      <c r="B33" s="585">
        <v>23</v>
      </c>
      <c r="C33" s="624" t="str">
        <f>IF('4-1.労働時間延長メニューメイン-1'!$C37="","",'4-1.労働時間延長メニューメイン-1'!$C37)</f>
        <v/>
      </c>
      <c r="D33" s="635" t="str">
        <f>IF('4-1.労働時間延長メニューメイン-1'!$D37="","",'4-1.労働時間延長メニューメイン-1'!$D37)</f>
        <v/>
      </c>
      <c r="E33" s="633" t="str">
        <f>IF('4-1.労働時間延長メニューメイン-1'!$E37="","",'4-1.労働時間延長メニューメイン-1'!$E37)</f>
        <v/>
      </c>
      <c r="F33" s="629" t="str">
        <f>IF('4-1.労働時間延長メニューメイン-1'!$F37="","",'4-1.労働時間延長メニューメイン-1'!$F37)</f>
        <v/>
      </c>
      <c r="G33" s="605" t="str">
        <f>IF('4-1.労働時間延長メニューメイン-1'!$G37="","",'4-1.労働時間延長メニューメイン-1'!$G37)</f>
        <v/>
      </c>
      <c r="H33" s="537" t="str">
        <f>IF($C33="","",IF('4-1.労働時間延長メニューメイン-1'!$I37="","",'4-1.労働時間延長メニューメイン-1'!$I37))</f>
        <v/>
      </c>
      <c r="I33" s="538" t="str">
        <f>IF($C33="","",IF('4-1.労働時間延長メニューメイン-1'!$J37="","",'4-1.労働時間延長メニューメイン-1'!$J37))</f>
        <v/>
      </c>
      <c r="J33" s="592" t="str">
        <f>IF($C33="","",IF('4-1.労働時間延長メニューメイン-1'!$K37="","",'4-1.労働時間延長メニューメイン-1'!$K37))</f>
        <v/>
      </c>
      <c r="K33" s="595" t="str">
        <f>IF($C33="","",IF('4-1.労働時間延長メニューメイン-1'!$AC37="","",'4-1.労働時間延長メニューメイン-1'!$AC37))</f>
        <v/>
      </c>
      <c r="L33" s="596" t="str">
        <f>IF($C33="","",IF('4-1.労働時間延長メニューメイン-1'!$AL37="","",'4-1.労働時間延長メニューメイン-1'!$AL37))</f>
        <v/>
      </c>
      <c r="M33" s="597" t="str">
        <f>IF($C33="","",IF('4-1.労働時間延長メニューメイン-1'!$AR37="","",'4-1.労働時間延長メニューメイン-1'!$AR37))</f>
        <v/>
      </c>
      <c r="N33" s="592" t="str">
        <f>IF($C33="","",IF('4-1.労働時間延長メニューメイン-1'!$AS37="","",'4-1.労働時間延長メニューメイン-1'!$AS37))</f>
        <v/>
      </c>
      <c r="O33" s="567" t="str">
        <f t="shared" si="4"/>
        <v/>
      </c>
      <c r="P33" s="544" t="str">
        <f t="shared" si="0"/>
        <v>会社の社会保険に加入！</v>
      </c>
      <c r="Q33" s="544" t="str">
        <f t="shared" si="1"/>
        <v>会社の社会保険に加入！</v>
      </c>
      <c r="R33" s="534" t="str">
        <f t="shared" si="3"/>
        <v/>
      </c>
      <c r="T33" s="44"/>
    </row>
    <row r="34" spans="2:20" ht="23.45" customHeight="1" x14ac:dyDescent="0.15">
      <c r="B34" s="584">
        <v>24</v>
      </c>
      <c r="C34" s="624" t="str">
        <f>IF('4-1.労働時間延長メニューメイン-1'!$C38="","",'4-1.労働時間延長メニューメイン-1'!$C38)</f>
        <v/>
      </c>
      <c r="D34" s="635" t="str">
        <f>IF('4-1.労働時間延長メニューメイン-1'!$D38="","",'4-1.労働時間延長メニューメイン-1'!$D38)</f>
        <v/>
      </c>
      <c r="E34" s="633" t="str">
        <f>IF('4-1.労働時間延長メニューメイン-1'!$E38="","",'4-1.労働時間延長メニューメイン-1'!$E38)</f>
        <v/>
      </c>
      <c r="F34" s="629" t="str">
        <f>IF('4-1.労働時間延長メニューメイン-1'!$F38="","",'4-1.労働時間延長メニューメイン-1'!$F38)</f>
        <v/>
      </c>
      <c r="G34" s="605" t="str">
        <f>IF('4-1.労働時間延長メニューメイン-1'!$G38="","",'4-1.労働時間延長メニューメイン-1'!$G38)</f>
        <v/>
      </c>
      <c r="H34" s="537" t="str">
        <f>IF($C34="","",IF('4-1.労働時間延長メニューメイン-1'!$I38="","",'4-1.労働時間延長メニューメイン-1'!$I38))</f>
        <v/>
      </c>
      <c r="I34" s="538" t="str">
        <f>IF($C34="","",IF('4-1.労働時間延長メニューメイン-1'!$J38="","",'4-1.労働時間延長メニューメイン-1'!$J38))</f>
        <v/>
      </c>
      <c r="J34" s="592" t="str">
        <f>IF($C34="","",IF('4-1.労働時間延長メニューメイン-1'!$K38="","",'4-1.労働時間延長メニューメイン-1'!$K38))</f>
        <v/>
      </c>
      <c r="K34" s="595" t="str">
        <f>IF($C34="","",IF('4-1.労働時間延長メニューメイン-1'!$AC38="","",'4-1.労働時間延長メニューメイン-1'!$AC38))</f>
        <v/>
      </c>
      <c r="L34" s="596" t="str">
        <f>IF($C34="","",IF('4-1.労働時間延長メニューメイン-1'!$AL38="","",'4-1.労働時間延長メニューメイン-1'!$AL38))</f>
        <v/>
      </c>
      <c r="M34" s="597" t="str">
        <f>IF($C34="","",IF('4-1.労働時間延長メニューメイン-1'!$AR38="","",'4-1.労働時間延長メニューメイン-1'!$AR38))</f>
        <v/>
      </c>
      <c r="N34" s="592" t="str">
        <f>IF($C34="","",IF('4-1.労働時間延長メニューメイン-1'!$AS38="","",'4-1.労働時間延長メニューメイン-1'!$AS38))</f>
        <v/>
      </c>
      <c r="O34" s="567" t="str">
        <f t="shared" si="4"/>
        <v/>
      </c>
      <c r="P34" s="544" t="str">
        <f t="shared" si="0"/>
        <v>会社の社会保険に加入！</v>
      </c>
      <c r="Q34" s="544" t="str">
        <f t="shared" si="1"/>
        <v>会社の社会保険に加入！</v>
      </c>
      <c r="R34" s="534" t="str">
        <f t="shared" si="3"/>
        <v/>
      </c>
      <c r="T34" s="44"/>
    </row>
    <row r="35" spans="2:20" ht="23.45" customHeight="1" x14ac:dyDescent="0.15">
      <c r="B35" s="585">
        <v>25</v>
      </c>
      <c r="C35" s="624" t="str">
        <f>IF('4-1.労働時間延長メニューメイン-1'!$C39="","",'4-1.労働時間延長メニューメイン-1'!$C39)</f>
        <v/>
      </c>
      <c r="D35" s="635" t="str">
        <f>IF('4-1.労働時間延長メニューメイン-1'!$D39="","",'4-1.労働時間延長メニューメイン-1'!$D39)</f>
        <v/>
      </c>
      <c r="E35" s="633" t="str">
        <f>IF('4-1.労働時間延長メニューメイン-1'!$E39="","",'4-1.労働時間延長メニューメイン-1'!$E39)</f>
        <v/>
      </c>
      <c r="F35" s="629" t="str">
        <f>IF('4-1.労働時間延長メニューメイン-1'!$F39="","",'4-1.労働時間延長メニューメイン-1'!$F39)</f>
        <v/>
      </c>
      <c r="G35" s="605" t="str">
        <f>IF('4-1.労働時間延長メニューメイン-1'!$G39="","",'4-1.労働時間延長メニューメイン-1'!$G39)</f>
        <v/>
      </c>
      <c r="H35" s="537" t="str">
        <f>IF($C35="","",IF('4-1.労働時間延長メニューメイン-1'!$I39="","",'4-1.労働時間延長メニューメイン-1'!$I39))</f>
        <v/>
      </c>
      <c r="I35" s="538" t="str">
        <f>IF($C35="","",IF('4-1.労働時間延長メニューメイン-1'!$J39="","",'4-1.労働時間延長メニューメイン-1'!$J39))</f>
        <v/>
      </c>
      <c r="J35" s="592" t="str">
        <f>IF($C35="","",IF('4-1.労働時間延長メニューメイン-1'!$K39="","",'4-1.労働時間延長メニューメイン-1'!$K39))</f>
        <v/>
      </c>
      <c r="K35" s="595" t="str">
        <f>IF($C35="","",IF('4-1.労働時間延長メニューメイン-1'!$AC39="","",'4-1.労働時間延長メニューメイン-1'!$AC39))</f>
        <v/>
      </c>
      <c r="L35" s="596" t="str">
        <f>IF($C35="","",IF('4-1.労働時間延長メニューメイン-1'!$AL39="","",'4-1.労働時間延長メニューメイン-1'!$AL39))</f>
        <v/>
      </c>
      <c r="M35" s="597" t="str">
        <f>IF($C35="","",IF('4-1.労働時間延長メニューメイン-1'!$AR39="","",'4-1.労働時間延長メニューメイン-1'!$AR39))</f>
        <v/>
      </c>
      <c r="N35" s="592" t="str">
        <f>IF($C35="","",IF('4-1.労働時間延長メニューメイン-1'!$AS39="","",'4-1.労働時間延長メニューメイン-1'!$AS39))</f>
        <v/>
      </c>
      <c r="O35" s="567" t="str">
        <f t="shared" si="4"/>
        <v/>
      </c>
      <c r="P35" s="544" t="str">
        <f t="shared" si="0"/>
        <v>会社の社会保険に加入！</v>
      </c>
      <c r="Q35" s="544" t="str">
        <f t="shared" si="1"/>
        <v>会社の社会保険に加入！</v>
      </c>
      <c r="R35" s="534" t="str">
        <f t="shared" si="3"/>
        <v/>
      </c>
      <c r="T35" s="44"/>
    </row>
    <row r="36" spans="2:20" ht="23.45" customHeight="1" x14ac:dyDescent="0.15">
      <c r="B36" s="585">
        <v>26</v>
      </c>
      <c r="C36" s="624" t="str">
        <f>IF('4-1.労働時間延長メニューメイン-1'!$C40="","",'4-1.労働時間延長メニューメイン-1'!$C40)</f>
        <v/>
      </c>
      <c r="D36" s="635" t="str">
        <f>IF('4-1.労働時間延長メニューメイン-1'!$D40="","",'4-1.労働時間延長メニューメイン-1'!$D40)</f>
        <v/>
      </c>
      <c r="E36" s="633" t="str">
        <f>IF('4-1.労働時間延長メニューメイン-1'!$E40="","",'4-1.労働時間延長メニューメイン-1'!$E40)</f>
        <v/>
      </c>
      <c r="F36" s="629" t="str">
        <f>IF('4-1.労働時間延長メニューメイン-1'!$F40="","",'4-1.労働時間延長メニューメイン-1'!$F40)</f>
        <v/>
      </c>
      <c r="G36" s="605" t="str">
        <f>IF('4-1.労働時間延長メニューメイン-1'!$G40="","",'4-1.労働時間延長メニューメイン-1'!$G40)</f>
        <v/>
      </c>
      <c r="H36" s="537" t="str">
        <f>IF($C36="","",IF('4-1.労働時間延長メニューメイン-1'!$I40="","",'4-1.労働時間延長メニューメイン-1'!$I40))</f>
        <v/>
      </c>
      <c r="I36" s="538" t="str">
        <f>IF($C36="","",IF('4-1.労働時間延長メニューメイン-1'!$J40="","",'4-1.労働時間延長メニューメイン-1'!$J40))</f>
        <v/>
      </c>
      <c r="J36" s="592" t="str">
        <f>IF($C36="","",IF('4-1.労働時間延長メニューメイン-1'!$K40="","",'4-1.労働時間延長メニューメイン-1'!$K40))</f>
        <v/>
      </c>
      <c r="K36" s="595" t="str">
        <f>IF($C36="","",IF('4-1.労働時間延長メニューメイン-1'!$AC40="","",'4-1.労働時間延長メニューメイン-1'!$AC40))</f>
        <v/>
      </c>
      <c r="L36" s="596" t="str">
        <f>IF($C36="","",IF('4-1.労働時間延長メニューメイン-1'!$AL40="","",'4-1.労働時間延長メニューメイン-1'!$AL40))</f>
        <v/>
      </c>
      <c r="M36" s="597" t="str">
        <f>IF($C36="","",IF('4-1.労働時間延長メニューメイン-1'!$AR40="","",'4-1.労働時間延長メニューメイン-1'!$AR40))</f>
        <v/>
      </c>
      <c r="N36" s="592" t="str">
        <f>IF($C36="","",IF('4-1.労働時間延長メニューメイン-1'!$AS40="","",'4-1.労働時間延長メニューメイン-1'!$AS40))</f>
        <v/>
      </c>
      <c r="O36" s="567" t="str">
        <f t="shared" si="4"/>
        <v/>
      </c>
      <c r="P36" s="544" t="str">
        <f t="shared" si="0"/>
        <v>会社の社会保険に加入！</v>
      </c>
      <c r="Q36" s="544" t="str">
        <f t="shared" si="1"/>
        <v>会社の社会保険に加入！</v>
      </c>
      <c r="R36" s="534" t="str">
        <f t="shared" si="3"/>
        <v/>
      </c>
      <c r="T36" s="44"/>
    </row>
    <row r="37" spans="2:20" ht="23.45" customHeight="1" x14ac:dyDescent="0.15">
      <c r="B37" s="585">
        <v>27</v>
      </c>
      <c r="C37" s="624" t="str">
        <f>IF('4-1.労働時間延長メニューメイン-1'!$C41="","",'4-1.労働時間延長メニューメイン-1'!$C41)</f>
        <v/>
      </c>
      <c r="D37" s="635" t="str">
        <f>IF('4-1.労働時間延長メニューメイン-1'!$D41="","",'4-1.労働時間延長メニューメイン-1'!$D41)</f>
        <v/>
      </c>
      <c r="E37" s="633" t="str">
        <f>IF('4-1.労働時間延長メニューメイン-1'!$E41="","",'4-1.労働時間延長メニューメイン-1'!$E41)</f>
        <v/>
      </c>
      <c r="F37" s="629" t="str">
        <f>IF('4-1.労働時間延長メニューメイン-1'!$F41="","",'4-1.労働時間延長メニューメイン-1'!$F41)</f>
        <v/>
      </c>
      <c r="G37" s="605" t="str">
        <f>IF('4-1.労働時間延長メニューメイン-1'!$G41="","",'4-1.労働時間延長メニューメイン-1'!$G41)</f>
        <v/>
      </c>
      <c r="H37" s="537" t="str">
        <f>IF($C37="","",IF('4-1.労働時間延長メニューメイン-1'!$I41="","",'4-1.労働時間延長メニューメイン-1'!$I41))</f>
        <v/>
      </c>
      <c r="I37" s="538" t="str">
        <f>IF($C37="","",IF('4-1.労働時間延長メニューメイン-1'!$J41="","",'4-1.労働時間延長メニューメイン-1'!$J41))</f>
        <v/>
      </c>
      <c r="J37" s="592" t="str">
        <f>IF($C37="","",IF('4-1.労働時間延長メニューメイン-1'!$K41="","",'4-1.労働時間延長メニューメイン-1'!$K41))</f>
        <v/>
      </c>
      <c r="K37" s="595" t="str">
        <f>IF($C37="","",IF('4-1.労働時間延長メニューメイン-1'!$AC41="","",'4-1.労働時間延長メニューメイン-1'!$AC41))</f>
        <v/>
      </c>
      <c r="L37" s="596" t="str">
        <f>IF($C37="","",IF('4-1.労働時間延長メニューメイン-1'!$AL41="","",'4-1.労働時間延長メニューメイン-1'!$AL41))</f>
        <v/>
      </c>
      <c r="M37" s="597" t="str">
        <f>IF($C37="","",IF('4-1.労働時間延長メニューメイン-1'!$AR41="","",'4-1.労働時間延長メニューメイン-1'!$AR41))</f>
        <v/>
      </c>
      <c r="N37" s="592" t="str">
        <f>IF($C37="","",IF('4-1.労働時間延長メニューメイン-1'!$AS41="","",'4-1.労働時間延長メニューメイン-1'!$AS41))</f>
        <v/>
      </c>
      <c r="O37" s="567" t="str">
        <f t="shared" si="4"/>
        <v/>
      </c>
      <c r="P37" s="544" t="str">
        <f t="shared" si="0"/>
        <v>会社の社会保険に加入！</v>
      </c>
      <c r="Q37" s="544" t="str">
        <f t="shared" si="1"/>
        <v>会社の社会保険に加入！</v>
      </c>
      <c r="R37" s="534" t="str">
        <f t="shared" si="3"/>
        <v/>
      </c>
      <c r="T37" s="44"/>
    </row>
    <row r="38" spans="2:20" ht="23.45" customHeight="1" x14ac:dyDescent="0.15">
      <c r="B38" s="584">
        <v>28</v>
      </c>
      <c r="C38" s="624" t="str">
        <f>IF('4-1.労働時間延長メニューメイン-1'!$C42="","",'4-1.労働時間延長メニューメイン-1'!$C42)</f>
        <v/>
      </c>
      <c r="D38" s="635" t="str">
        <f>IF('4-1.労働時間延長メニューメイン-1'!$D42="","",'4-1.労働時間延長メニューメイン-1'!$D42)</f>
        <v/>
      </c>
      <c r="E38" s="633" t="str">
        <f>IF('4-1.労働時間延長メニューメイン-1'!$E42="","",'4-1.労働時間延長メニューメイン-1'!$E42)</f>
        <v/>
      </c>
      <c r="F38" s="629" t="str">
        <f>IF('4-1.労働時間延長メニューメイン-1'!$F42="","",'4-1.労働時間延長メニューメイン-1'!$F42)</f>
        <v/>
      </c>
      <c r="G38" s="605" t="str">
        <f>IF('4-1.労働時間延長メニューメイン-1'!$G42="","",'4-1.労働時間延長メニューメイン-1'!$G42)</f>
        <v/>
      </c>
      <c r="H38" s="537" t="str">
        <f>IF($C38="","",IF('4-1.労働時間延長メニューメイン-1'!$I42="","",'4-1.労働時間延長メニューメイン-1'!$I42))</f>
        <v/>
      </c>
      <c r="I38" s="538" t="str">
        <f>IF($C38="","",IF('4-1.労働時間延長メニューメイン-1'!$J42="","",'4-1.労働時間延長メニューメイン-1'!$J42))</f>
        <v/>
      </c>
      <c r="J38" s="592" t="str">
        <f>IF($C38="","",IF('4-1.労働時間延長メニューメイン-1'!$K42="","",'4-1.労働時間延長メニューメイン-1'!$K42))</f>
        <v/>
      </c>
      <c r="K38" s="595" t="str">
        <f>IF($C38="","",IF('4-1.労働時間延長メニューメイン-1'!$AC42="","",'4-1.労働時間延長メニューメイン-1'!$AC42))</f>
        <v/>
      </c>
      <c r="L38" s="596" t="str">
        <f>IF($C38="","",IF('4-1.労働時間延長メニューメイン-1'!$AL42="","",'4-1.労働時間延長メニューメイン-1'!$AL42))</f>
        <v/>
      </c>
      <c r="M38" s="597" t="str">
        <f>IF($C38="","",IF('4-1.労働時間延長メニューメイン-1'!$AR42="","",'4-1.労働時間延長メニューメイン-1'!$AR42))</f>
        <v/>
      </c>
      <c r="N38" s="592" t="str">
        <f>IF($C38="","",IF('4-1.労働時間延長メニューメイン-1'!$AS42="","",'4-1.労働時間延長メニューメイン-1'!$AS42))</f>
        <v/>
      </c>
      <c r="O38" s="567" t="str">
        <f t="shared" si="4"/>
        <v/>
      </c>
      <c r="P38" s="544" t="str">
        <f t="shared" si="0"/>
        <v>会社の社会保険に加入！</v>
      </c>
      <c r="Q38" s="544" t="str">
        <f t="shared" si="1"/>
        <v>会社の社会保険に加入！</v>
      </c>
      <c r="R38" s="534" t="str">
        <f t="shared" si="3"/>
        <v/>
      </c>
      <c r="T38" s="44"/>
    </row>
    <row r="39" spans="2:20" ht="23.45" customHeight="1" x14ac:dyDescent="0.15">
      <c r="B39" s="585">
        <v>29</v>
      </c>
      <c r="C39" s="624" t="str">
        <f>IF('4-1.労働時間延長メニューメイン-1'!$C43="","",'4-1.労働時間延長メニューメイン-1'!$C43)</f>
        <v/>
      </c>
      <c r="D39" s="635" t="str">
        <f>IF('4-1.労働時間延長メニューメイン-1'!$D43="","",'4-1.労働時間延長メニューメイン-1'!$D43)</f>
        <v/>
      </c>
      <c r="E39" s="633" t="str">
        <f>IF('4-1.労働時間延長メニューメイン-1'!$E43="","",'4-1.労働時間延長メニューメイン-1'!$E43)</f>
        <v/>
      </c>
      <c r="F39" s="629" t="str">
        <f>IF('4-1.労働時間延長メニューメイン-1'!$F43="","",'4-1.労働時間延長メニューメイン-1'!$F43)</f>
        <v/>
      </c>
      <c r="G39" s="605" t="str">
        <f>IF('4-1.労働時間延長メニューメイン-1'!$G43="","",'4-1.労働時間延長メニューメイン-1'!$G43)</f>
        <v/>
      </c>
      <c r="H39" s="537" t="str">
        <f>IF($C39="","",IF('4-1.労働時間延長メニューメイン-1'!$I43="","",'4-1.労働時間延長メニューメイン-1'!$I43))</f>
        <v/>
      </c>
      <c r="I39" s="538" t="str">
        <f>IF($C39="","",IF('4-1.労働時間延長メニューメイン-1'!$J43="","",'4-1.労働時間延長メニューメイン-1'!$J43))</f>
        <v/>
      </c>
      <c r="J39" s="592" t="str">
        <f>IF($C39="","",IF('4-1.労働時間延長メニューメイン-1'!$K43="","",'4-1.労働時間延長メニューメイン-1'!$K43))</f>
        <v/>
      </c>
      <c r="K39" s="595" t="str">
        <f>IF($C39="","",IF('4-1.労働時間延長メニューメイン-1'!$AC43="","",'4-1.労働時間延長メニューメイン-1'!$AC43))</f>
        <v/>
      </c>
      <c r="L39" s="596" t="str">
        <f>IF($C39="","",IF('4-1.労働時間延長メニューメイン-1'!$AL43="","",'4-1.労働時間延長メニューメイン-1'!$AL43))</f>
        <v/>
      </c>
      <c r="M39" s="597" t="str">
        <f>IF($C39="","",IF('4-1.労働時間延長メニューメイン-1'!$AR43="","",'4-1.労働時間延長メニューメイン-1'!$AR43))</f>
        <v/>
      </c>
      <c r="N39" s="592" t="str">
        <f>IF($C39="","",IF('4-1.労働時間延長メニューメイン-1'!$AS43="","",'4-1.労働時間延長メニューメイン-1'!$AS43))</f>
        <v/>
      </c>
      <c r="O39" s="567" t="str">
        <f t="shared" si="4"/>
        <v/>
      </c>
      <c r="P39" s="544" t="str">
        <f t="shared" si="0"/>
        <v>会社の社会保険に加入！</v>
      </c>
      <c r="Q39" s="544" t="str">
        <f t="shared" si="1"/>
        <v>会社の社会保険に加入！</v>
      </c>
      <c r="R39" s="534" t="str">
        <f t="shared" si="3"/>
        <v/>
      </c>
      <c r="T39" s="44"/>
    </row>
    <row r="40" spans="2:20" ht="23.45" customHeight="1" thickBot="1" x14ac:dyDescent="0.2">
      <c r="B40" s="585">
        <v>30</v>
      </c>
      <c r="C40" s="625" t="str">
        <f>IF('4-1.労働時間延長メニューメイン-1'!$C44="","",'4-1.労働時間延長メニューメイン-1'!$C44)</f>
        <v/>
      </c>
      <c r="D40" s="635" t="str">
        <f>IF('4-1.労働時間延長メニューメイン-1'!$D44="","",'4-1.労働時間延長メニューメイン-1'!$D44)</f>
        <v/>
      </c>
      <c r="E40" s="633" t="str">
        <f>IF('4-1.労働時間延長メニューメイン-1'!$E44="","",'4-1.労働時間延長メニューメイン-1'!$E44)</f>
        <v/>
      </c>
      <c r="F40" s="629" t="str">
        <f>IF('4-1.労働時間延長メニューメイン-1'!$F44="","",'4-1.労働時間延長メニューメイン-1'!$F44)</f>
        <v/>
      </c>
      <c r="G40" s="605" t="str">
        <f>IF('4-1.労働時間延長メニューメイン-1'!$G44="","",'4-1.労働時間延長メニューメイン-1'!$G44)</f>
        <v/>
      </c>
      <c r="H40" s="537" t="str">
        <f>IF($C40="","",IF('4-1.労働時間延長メニューメイン-1'!$I44="","",'4-1.労働時間延長メニューメイン-1'!$I44))</f>
        <v/>
      </c>
      <c r="I40" s="539" t="str">
        <f>IF($C40="","",IF('4-1.労働時間延長メニューメイン-1'!$J44="","",'4-1.労働時間延長メニューメイン-1'!$J44))</f>
        <v/>
      </c>
      <c r="J40" s="592" t="str">
        <f>IF($C40="","",IF('4-1.労働時間延長メニューメイン-1'!$K44="","",'4-1.労働時間延長メニューメイン-1'!$K44))</f>
        <v/>
      </c>
      <c r="K40" s="598" t="str">
        <f>IF($C40="","",IF('4-1.労働時間延長メニューメイン-1'!$AC44="","",'4-1.労働時間延長メニューメイン-1'!$AC44))</f>
        <v/>
      </c>
      <c r="L40" s="596" t="str">
        <f>IF($C40="","",IF('4-1.労働時間延長メニューメイン-1'!$AL44="","",'4-1.労働時間延長メニューメイン-1'!$AL44))</f>
        <v/>
      </c>
      <c r="M40" s="599" t="str">
        <f>IF($C40="","",IF('4-1.労働時間延長メニューメイン-1'!$AR44="","",'4-1.労働時間延長メニューメイン-1'!$AR44))</f>
        <v/>
      </c>
      <c r="N40" s="592" t="str">
        <f>IF($C40="","",IF('4-1.労働時間延長メニューメイン-1'!$AS44="","",'4-1.労働時間延長メニューメイン-1'!$AS44))</f>
        <v/>
      </c>
      <c r="O40" s="567" t="str">
        <f t="shared" si="4"/>
        <v/>
      </c>
      <c r="P40" s="544" t="str">
        <f t="shared" si="0"/>
        <v>会社の社会保険に加入！</v>
      </c>
      <c r="Q40" s="544" t="str">
        <f t="shared" si="1"/>
        <v>会社の社会保険に加入！</v>
      </c>
      <c r="R40" s="534" t="str">
        <f t="shared" si="3"/>
        <v/>
      </c>
      <c r="T40" s="44"/>
    </row>
    <row r="41" spans="2:20" x14ac:dyDescent="0.15">
      <c r="T41" s="44"/>
    </row>
    <row r="42" spans="2:20" x14ac:dyDescent="0.15">
      <c r="T42" s="44"/>
    </row>
    <row r="43" spans="2:20" x14ac:dyDescent="0.15">
      <c r="T43" s="44"/>
    </row>
    <row r="44" spans="2:20" x14ac:dyDescent="0.15">
      <c r="T44" s="44"/>
    </row>
    <row r="45" spans="2:20" x14ac:dyDescent="0.15">
      <c r="T45" s="44"/>
    </row>
    <row r="46" spans="2:20" x14ac:dyDescent="0.15">
      <c r="T46" s="44"/>
    </row>
  </sheetData>
  <sheetProtection algorithmName="SHA-512" hashValue="5x+GRRYZ57k6BW3J6F2Q2c9a+s820yeldqaRUoUcEGFVFRF26hOpwhxr58+c9doTS2oJbD80L5HoUpqXNBfQ9A==" saltValue="r+GStSikxxTWzgnBXzV3Rg==" spinCount="100000" sheet="1" objects="1" scenarios="1"/>
  <mergeCells count="3">
    <mergeCell ref="T9:U9"/>
    <mergeCell ref="F5:G5"/>
    <mergeCell ref="L5:R7"/>
  </mergeCells>
  <phoneticPr fontId="3"/>
  <conditionalFormatting sqref="J11:J40">
    <cfRule type="expression" dxfId="14" priority="69">
      <formula>J11&gt;=$T$15</formula>
    </cfRule>
    <cfRule type="expression" dxfId="13" priority="70">
      <formula>J11&gt;=$T$14</formula>
    </cfRule>
    <cfRule type="expression" dxfId="12" priority="71">
      <formula>J11&gt;$T$13</formula>
    </cfRule>
    <cfRule type="expression" dxfId="11" priority="72">
      <formula>J11&gt;$T$12</formula>
    </cfRule>
    <cfRule type="expression" dxfId="10" priority="73">
      <formula>J11&lt;=$T$11</formula>
    </cfRule>
    <cfRule type="expression" priority="74">
      <formula>$N11&lt;=$T$11</formula>
    </cfRule>
  </conditionalFormatting>
  <conditionalFormatting sqref="R11:R40">
    <cfRule type="expression" dxfId="9" priority="1">
      <formula>AND(U$18=3,$H11&gt;=88000)</formula>
    </cfRule>
    <cfRule type="expression" dxfId="8" priority="2">
      <formula>AND(U$18=3,$H11&lt;88000)</formula>
    </cfRule>
    <cfRule type="expression" dxfId="7" priority="4">
      <formula>$J11=0</formula>
    </cfRule>
    <cfRule type="expression" dxfId="6" priority="5">
      <formula>AND($U$18=3,$G11&gt;=20)</formula>
    </cfRule>
    <cfRule type="expression" dxfId="5" priority="6">
      <formula>AND($U$18=3,G$11&lt;20,$J11&gt;=1300000)</formula>
    </cfRule>
    <cfRule type="expression" dxfId="4" priority="9">
      <formula>AND($U$18=3,G11&gt;=20)</formula>
    </cfRule>
    <cfRule type="expression" dxfId="3" priority="12">
      <formula>AND(OR($U$18=2,$U$18=1),G11&gt;=30)</formula>
    </cfRule>
    <cfRule type="expression" dxfId="2" priority="13">
      <formula>AND(OR($U$18=2,$U$18=1),$J11&gt;=1300000)</formula>
    </cfRule>
    <cfRule type="expression" dxfId="1" priority="14">
      <formula>AND(OR($U$18=2,$U$18=1),$J11&lt;1300000)</formula>
    </cfRule>
  </conditionalFormatting>
  <conditionalFormatting sqref="R15">
    <cfRule type="expression" dxfId="0" priority="3">
      <formula>AND($U$18=3,$I11&lt;88000)</formula>
    </cfRule>
  </conditionalFormatting>
  <pageMargins left="0.39370078740157483" right="0.39370078740157483" top="0.78740157480314965" bottom="0.59055118110236227" header="0.51181102362204722" footer="0.51181102362204722"/>
  <pageSetup paperSize="9" scale="95" pageOrder="overThenDown" orientation="landscape" r:id="rId1"/>
  <headerFooter alignWithMargins="0">
    <oddFooter>&amp;C&amp;P</oddFooter>
  </headerFooter>
  <colBreaks count="2" manualBreakCount="2">
    <brk id="11" min="2" max="26" man="1"/>
    <brk id="18" min="3"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FF"/>
  </sheetPr>
  <dimension ref="B1:O59"/>
  <sheetViews>
    <sheetView showGridLines="0" zoomScaleNormal="100" workbookViewId="0">
      <selection activeCell="G2" sqref="G2"/>
    </sheetView>
  </sheetViews>
  <sheetFormatPr defaultRowHeight="13.5" x14ac:dyDescent="0.15"/>
  <cols>
    <col min="1" max="1" width="2.375" customWidth="1"/>
    <col min="2" max="3" width="2.875" customWidth="1"/>
    <col min="4" max="4" width="10.875" customWidth="1"/>
    <col min="5" max="5" width="10.625" customWidth="1"/>
    <col min="6" max="6" width="4.375" customWidth="1"/>
    <col min="7" max="7" width="10.625" customWidth="1"/>
    <col min="8" max="8" width="4.375" customWidth="1"/>
    <col min="9" max="12" width="11.25" customWidth="1"/>
    <col min="13" max="13" width="2.75" customWidth="1"/>
    <col min="14" max="14" width="12.125" style="18" customWidth="1"/>
    <col min="15" max="15" width="14.25" style="18" customWidth="1"/>
  </cols>
  <sheetData>
    <row r="1" spans="2:15" s="17" customFormat="1" ht="28.5" customHeight="1" x14ac:dyDescent="0.15">
      <c r="D1" s="17">
        <v>1</v>
      </c>
      <c r="E1" s="17">
        <v>2</v>
      </c>
      <c r="F1" s="17">
        <v>3</v>
      </c>
      <c r="G1" s="17">
        <v>4</v>
      </c>
      <c r="H1" s="17">
        <v>5</v>
      </c>
      <c r="I1" s="17">
        <v>6</v>
      </c>
      <c r="J1" s="17">
        <v>7</v>
      </c>
      <c r="K1" s="17">
        <v>8</v>
      </c>
      <c r="L1" s="17">
        <v>9</v>
      </c>
      <c r="N1" s="23"/>
      <c r="O1" s="23"/>
    </row>
    <row r="2" spans="2:15" ht="14.25" thickBot="1" x14ac:dyDescent="0.2">
      <c r="D2" s="21" t="s">
        <v>25</v>
      </c>
      <c r="I2" t="str">
        <f>'2-2.保険料・地方税等入力画面'!$J$4</f>
        <v>（令和５年３月１日現在）</v>
      </c>
      <c r="L2" s="22"/>
    </row>
    <row r="3" spans="2:15" ht="18.75" x14ac:dyDescent="0.2">
      <c r="B3" s="19" t="s">
        <v>23</v>
      </c>
      <c r="E3" s="1"/>
      <c r="I3" s="26" t="s">
        <v>21</v>
      </c>
      <c r="J3" s="27" t="s">
        <v>21</v>
      </c>
      <c r="K3" s="27" t="s">
        <v>21</v>
      </c>
      <c r="L3" s="28" t="s">
        <v>21</v>
      </c>
    </row>
    <row r="4" spans="2:15" ht="19.5" thickBot="1" x14ac:dyDescent="0.25">
      <c r="E4" s="1"/>
      <c r="I4" s="29">
        <f>'2-2.保険料・地方税等入力画面'!G7</f>
        <v>0.10290000000000001</v>
      </c>
      <c r="J4" s="29">
        <f>'2-2.保険料・地方税等入力画面'!H7</f>
        <v>0.1211</v>
      </c>
      <c r="K4" s="29">
        <f>'2-2.保険料・地方税等入力画面'!I7</f>
        <v>1.8199999999999994E-2</v>
      </c>
      <c r="L4" s="29">
        <f>'2-2.保険料・地方税等入力画面'!J7</f>
        <v>0.183</v>
      </c>
    </row>
    <row r="5" spans="2:15" ht="19.5" customHeight="1" x14ac:dyDescent="0.15">
      <c r="B5" s="884" t="s">
        <v>1</v>
      </c>
      <c r="C5" s="885"/>
      <c r="D5" s="886"/>
      <c r="E5" s="20"/>
      <c r="F5" s="20"/>
      <c r="G5" s="20"/>
      <c r="H5" s="20"/>
      <c r="I5" s="887" t="s">
        <v>24</v>
      </c>
      <c r="J5" s="885"/>
      <c r="K5" s="885"/>
      <c r="L5" s="888"/>
      <c r="N5" s="24"/>
      <c r="O5" s="24"/>
    </row>
    <row r="6" spans="2:15" ht="17.100000000000001" customHeight="1" thickBot="1" x14ac:dyDescent="0.2">
      <c r="B6" s="10" t="s">
        <v>2</v>
      </c>
      <c r="C6" s="11"/>
      <c r="D6" s="12" t="s">
        <v>3</v>
      </c>
      <c r="E6" s="889" t="s">
        <v>4</v>
      </c>
      <c r="F6" s="890"/>
      <c r="G6" s="890"/>
      <c r="H6" s="890"/>
      <c r="I6" s="13" t="s">
        <v>5</v>
      </c>
      <c r="J6" s="13" t="s">
        <v>5</v>
      </c>
      <c r="K6" s="12" t="s">
        <v>6</v>
      </c>
      <c r="L6" s="14" t="s">
        <v>7</v>
      </c>
      <c r="N6" s="25" t="s">
        <v>31</v>
      </c>
    </row>
    <row r="7" spans="2:15" ht="17.100000000000001" customHeight="1" thickBot="1" x14ac:dyDescent="0.2">
      <c r="B7" s="49" t="s">
        <v>8</v>
      </c>
      <c r="C7" s="12" t="s">
        <v>9</v>
      </c>
      <c r="D7" s="15"/>
      <c r="E7" s="16"/>
      <c r="F7" s="16"/>
      <c r="G7" s="16"/>
      <c r="H7" s="16"/>
      <c r="I7" s="11" t="s">
        <v>10</v>
      </c>
      <c r="J7" s="11" t="s">
        <v>11</v>
      </c>
      <c r="K7" s="11" t="s">
        <v>12</v>
      </c>
      <c r="L7" s="33" t="s">
        <v>13</v>
      </c>
      <c r="N7" s="41" t="s">
        <v>27</v>
      </c>
      <c r="O7" s="34" t="s">
        <v>0</v>
      </c>
    </row>
    <row r="8" spans="2:15" ht="17.100000000000001" customHeight="1" x14ac:dyDescent="0.15">
      <c r="B8" s="50">
        <v>1</v>
      </c>
      <c r="C8" s="50"/>
      <c r="D8" s="48">
        <v>58000</v>
      </c>
      <c r="E8" s="2"/>
      <c r="F8" s="3" t="s">
        <v>14</v>
      </c>
      <c r="G8" s="4">
        <v>63000</v>
      </c>
      <c r="H8" s="5" t="s">
        <v>15</v>
      </c>
      <c r="I8" s="30">
        <f>$D8*I$4/2</f>
        <v>2984.1000000000004</v>
      </c>
      <c r="J8" s="30">
        <f t="shared" ref="J8:L23" si="0">$D8*J$4/2</f>
        <v>3511.9</v>
      </c>
      <c r="K8" s="30">
        <f>$D8*K$4/2</f>
        <v>527.79999999999984</v>
      </c>
      <c r="L8" s="31">
        <f>$D8*L$4/2</f>
        <v>5307</v>
      </c>
      <c r="N8" s="35">
        <v>0</v>
      </c>
      <c r="O8" s="36">
        <v>58000</v>
      </c>
    </row>
    <row r="9" spans="2:15" ht="17.100000000000001" customHeight="1" x14ac:dyDescent="0.15">
      <c r="B9" s="51">
        <v>2</v>
      </c>
      <c r="C9" s="51"/>
      <c r="D9" s="48">
        <v>68000</v>
      </c>
      <c r="E9" s="2">
        <v>63000</v>
      </c>
      <c r="F9" s="3" t="s">
        <v>14</v>
      </c>
      <c r="G9" s="4">
        <v>73000</v>
      </c>
      <c r="H9" s="5" t="s">
        <v>15</v>
      </c>
      <c r="I9" s="30">
        <f t="shared" ref="I9:L47" si="1">$D9*I$4/2</f>
        <v>3498.6000000000004</v>
      </c>
      <c r="J9" s="30">
        <f t="shared" si="0"/>
        <v>4117.3999999999996</v>
      </c>
      <c r="K9" s="30">
        <f t="shared" si="0"/>
        <v>618.79999999999984</v>
      </c>
      <c r="L9" s="31">
        <f t="shared" si="0"/>
        <v>6222</v>
      </c>
      <c r="N9" s="35">
        <v>63000</v>
      </c>
      <c r="O9" s="36">
        <v>68000</v>
      </c>
    </row>
    <row r="10" spans="2:15" ht="17.100000000000001" customHeight="1" x14ac:dyDescent="0.15">
      <c r="B10" s="51">
        <v>3</v>
      </c>
      <c r="C10" s="51"/>
      <c r="D10" s="48">
        <v>78000</v>
      </c>
      <c r="E10" s="2">
        <v>73000</v>
      </c>
      <c r="F10" s="3" t="s">
        <v>14</v>
      </c>
      <c r="G10" s="4">
        <v>83000</v>
      </c>
      <c r="H10" s="5" t="s">
        <v>15</v>
      </c>
      <c r="I10" s="30">
        <f t="shared" si="1"/>
        <v>4013.1000000000004</v>
      </c>
      <c r="J10" s="30">
        <f t="shared" si="0"/>
        <v>4722.8999999999996</v>
      </c>
      <c r="K10" s="30">
        <f t="shared" si="0"/>
        <v>709.79999999999973</v>
      </c>
      <c r="L10" s="31">
        <f t="shared" si="0"/>
        <v>7137</v>
      </c>
      <c r="N10" s="35">
        <v>73000</v>
      </c>
      <c r="O10" s="36">
        <v>78000</v>
      </c>
    </row>
    <row r="11" spans="2:15" ht="17.100000000000001" customHeight="1" x14ac:dyDescent="0.15">
      <c r="B11" s="51">
        <v>4</v>
      </c>
      <c r="C11" s="51">
        <v>1</v>
      </c>
      <c r="D11" s="48">
        <v>88000</v>
      </c>
      <c r="E11" s="2">
        <v>83000</v>
      </c>
      <c r="F11" s="3" t="s">
        <v>14</v>
      </c>
      <c r="G11" s="4">
        <f>E12</f>
        <v>93000</v>
      </c>
      <c r="H11" s="5" t="s">
        <v>15</v>
      </c>
      <c r="I11" s="30">
        <f t="shared" si="1"/>
        <v>4527.6000000000004</v>
      </c>
      <c r="J11" s="30">
        <f t="shared" si="0"/>
        <v>5328.4</v>
      </c>
      <c r="K11" s="30">
        <f t="shared" si="0"/>
        <v>800.79999999999973</v>
      </c>
      <c r="L11" s="31">
        <f t="shared" si="0"/>
        <v>8052</v>
      </c>
      <c r="N11" s="35">
        <v>83000</v>
      </c>
      <c r="O11" s="36">
        <v>88000</v>
      </c>
    </row>
    <row r="12" spans="2:15" ht="17.100000000000001" customHeight="1" x14ac:dyDescent="0.15">
      <c r="B12" s="51">
        <v>5</v>
      </c>
      <c r="C12" s="51">
        <v>2</v>
      </c>
      <c r="D12" s="48">
        <v>98000</v>
      </c>
      <c r="E12" s="2">
        <v>93000</v>
      </c>
      <c r="F12" s="3" t="s">
        <v>14</v>
      </c>
      <c r="G12" s="4">
        <f t="shared" ref="G12:G57" si="2">E13</f>
        <v>101000</v>
      </c>
      <c r="H12" s="5" t="s">
        <v>15</v>
      </c>
      <c r="I12" s="30">
        <f t="shared" si="1"/>
        <v>5042.1000000000004</v>
      </c>
      <c r="J12" s="30">
        <f t="shared" si="0"/>
        <v>5933.9</v>
      </c>
      <c r="K12" s="30">
        <f t="shared" si="0"/>
        <v>891.79999999999973</v>
      </c>
      <c r="L12" s="31">
        <f t="shared" si="0"/>
        <v>8967</v>
      </c>
      <c r="N12" s="35">
        <v>93000</v>
      </c>
      <c r="O12" s="36">
        <v>98000</v>
      </c>
    </row>
    <row r="13" spans="2:15" ht="17.100000000000001" customHeight="1" x14ac:dyDescent="0.15">
      <c r="B13" s="51">
        <v>6</v>
      </c>
      <c r="C13" s="51">
        <v>3</v>
      </c>
      <c r="D13" s="48">
        <v>104000</v>
      </c>
      <c r="E13" s="2">
        <v>101000</v>
      </c>
      <c r="F13" s="3" t="s">
        <v>14</v>
      </c>
      <c r="G13" s="4">
        <f t="shared" si="2"/>
        <v>107000</v>
      </c>
      <c r="H13" s="5" t="s">
        <v>15</v>
      </c>
      <c r="I13" s="30">
        <f t="shared" si="1"/>
        <v>5350.8</v>
      </c>
      <c r="J13" s="30">
        <f t="shared" si="0"/>
        <v>6297.2</v>
      </c>
      <c r="K13" s="30">
        <f t="shared" si="0"/>
        <v>946.39999999999964</v>
      </c>
      <c r="L13" s="31">
        <f t="shared" si="0"/>
        <v>9516</v>
      </c>
      <c r="N13" s="35">
        <v>101000</v>
      </c>
      <c r="O13" s="36">
        <v>104000</v>
      </c>
    </row>
    <row r="14" spans="2:15" ht="17.100000000000001" customHeight="1" x14ac:dyDescent="0.15">
      <c r="B14" s="51">
        <v>7</v>
      </c>
      <c r="C14" s="51">
        <v>4</v>
      </c>
      <c r="D14" s="48">
        <v>110000</v>
      </c>
      <c r="E14" s="2">
        <v>107000</v>
      </c>
      <c r="F14" s="3" t="s">
        <v>14</v>
      </c>
      <c r="G14" s="4">
        <f t="shared" si="2"/>
        <v>114000</v>
      </c>
      <c r="H14" s="5" t="s">
        <v>15</v>
      </c>
      <c r="I14" s="30">
        <f t="shared" si="1"/>
        <v>5659.5</v>
      </c>
      <c r="J14" s="30">
        <f t="shared" si="0"/>
        <v>6660.5</v>
      </c>
      <c r="K14" s="30">
        <f t="shared" si="0"/>
        <v>1000.9999999999997</v>
      </c>
      <c r="L14" s="31">
        <f t="shared" si="0"/>
        <v>10065</v>
      </c>
      <c r="N14" s="35">
        <v>107000</v>
      </c>
      <c r="O14" s="36">
        <v>110000</v>
      </c>
    </row>
    <row r="15" spans="2:15" ht="17.100000000000001" customHeight="1" x14ac:dyDescent="0.15">
      <c r="B15" s="51">
        <v>8</v>
      </c>
      <c r="C15" s="51">
        <v>5</v>
      </c>
      <c r="D15" s="48">
        <v>118000</v>
      </c>
      <c r="E15" s="2">
        <v>114000</v>
      </c>
      <c r="F15" s="3" t="s">
        <v>14</v>
      </c>
      <c r="G15" s="4">
        <f t="shared" si="2"/>
        <v>122000</v>
      </c>
      <c r="H15" s="5" t="s">
        <v>15</v>
      </c>
      <c r="I15" s="30">
        <f t="shared" si="1"/>
        <v>6071.1</v>
      </c>
      <c r="J15" s="30">
        <f t="shared" si="0"/>
        <v>7144.9</v>
      </c>
      <c r="K15" s="30">
        <f t="shared" si="0"/>
        <v>1073.7999999999997</v>
      </c>
      <c r="L15" s="31">
        <f t="shared" si="0"/>
        <v>10797</v>
      </c>
      <c r="N15" s="35">
        <v>114000</v>
      </c>
      <c r="O15" s="36">
        <v>118000</v>
      </c>
    </row>
    <row r="16" spans="2:15" ht="17.100000000000001" customHeight="1" x14ac:dyDescent="0.15">
      <c r="B16" s="51">
        <v>9</v>
      </c>
      <c r="C16" s="51">
        <v>6</v>
      </c>
      <c r="D16" s="48">
        <v>126000</v>
      </c>
      <c r="E16" s="2">
        <v>122000</v>
      </c>
      <c r="F16" s="3" t="s">
        <v>14</v>
      </c>
      <c r="G16" s="4">
        <f t="shared" si="2"/>
        <v>130000</v>
      </c>
      <c r="H16" s="5" t="s">
        <v>15</v>
      </c>
      <c r="I16" s="30">
        <f t="shared" si="1"/>
        <v>6482.7000000000007</v>
      </c>
      <c r="J16" s="30">
        <f t="shared" si="0"/>
        <v>7629.3</v>
      </c>
      <c r="K16" s="30">
        <f t="shared" si="0"/>
        <v>1146.5999999999997</v>
      </c>
      <c r="L16" s="31">
        <f t="shared" si="0"/>
        <v>11529</v>
      </c>
      <c r="N16" s="35">
        <v>122000</v>
      </c>
      <c r="O16" s="36">
        <v>126000</v>
      </c>
    </row>
    <row r="17" spans="2:15" ht="17.100000000000001" customHeight="1" x14ac:dyDescent="0.15">
      <c r="B17" s="51">
        <v>10</v>
      </c>
      <c r="C17" s="51">
        <v>7</v>
      </c>
      <c r="D17" s="48">
        <v>134000</v>
      </c>
      <c r="E17" s="2">
        <v>130000</v>
      </c>
      <c r="F17" s="3" t="s">
        <v>14</v>
      </c>
      <c r="G17" s="4">
        <f t="shared" si="2"/>
        <v>138000</v>
      </c>
      <c r="H17" s="5" t="s">
        <v>15</v>
      </c>
      <c r="I17" s="30">
        <f t="shared" si="1"/>
        <v>6894.3</v>
      </c>
      <c r="J17" s="30">
        <f t="shared" si="0"/>
        <v>8113.7</v>
      </c>
      <c r="K17" s="30">
        <f t="shared" si="0"/>
        <v>1219.3999999999996</v>
      </c>
      <c r="L17" s="31">
        <f t="shared" si="0"/>
        <v>12261</v>
      </c>
      <c r="N17" s="35">
        <v>130000</v>
      </c>
      <c r="O17" s="36">
        <v>134000</v>
      </c>
    </row>
    <row r="18" spans="2:15" ht="17.100000000000001" customHeight="1" x14ac:dyDescent="0.15">
      <c r="B18" s="51">
        <v>11</v>
      </c>
      <c r="C18" s="51">
        <v>8</v>
      </c>
      <c r="D18" s="48">
        <v>142000</v>
      </c>
      <c r="E18" s="2">
        <v>138000</v>
      </c>
      <c r="F18" s="3" t="s">
        <v>14</v>
      </c>
      <c r="G18" s="4">
        <f t="shared" si="2"/>
        <v>146000</v>
      </c>
      <c r="H18" s="5" t="s">
        <v>15</v>
      </c>
      <c r="I18" s="30">
        <f t="shared" si="1"/>
        <v>7305.9000000000005</v>
      </c>
      <c r="J18" s="30">
        <f t="shared" si="0"/>
        <v>8598.1</v>
      </c>
      <c r="K18" s="30">
        <f t="shared" si="0"/>
        <v>1292.1999999999996</v>
      </c>
      <c r="L18" s="31">
        <f t="shared" si="0"/>
        <v>12993</v>
      </c>
      <c r="N18" s="35">
        <v>138000</v>
      </c>
      <c r="O18" s="36">
        <v>142000</v>
      </c>
    </row>
    <row r="19" spans="2:15" ht="17.100000000000001" customHeight="1" x14ac:dyDescent="0.15">
      <c r="B19" s="51">
        <v>12</v>
      </c>
      <c r="C19" s="51">
        <v>9</v>
      </c>
      <c r="D19" s="48">
        <v>150000</v>
      </c>
      <c r="E19" s="2">
        <v>146000</v>
      </c>
      <c r="F19" s="3" t="s">
        <v>14</v>
      </c>
      <c r="G19" s="4">
        <f t="shared" si="2"/>
        <v>155000</v>
      </c>
      <c r="H19" s="5" t="s">
        <v>15</v>
      </c>
      <c r="I19" s="30">
        <f t="shared" si="1"/>
        <v>7717.5</v>
      </c>
      <c r="J19" s="30">
        <f t="shared" si="0"/>
        <v>9082.5</v>
      </c>
      <c r="K19" s="30">
        <f t="shared" si="0"/>
        <v>1364.9999999999995</v>
      </c>
      <c r="L19" s="31">
        <f t="shared" si="0"/>
        <v>13725</v>
      </c>
      <c r="N19" s="35">
        <v>146000</v>
      </c>
      <c r="O19" s="36">
        <v>150000</v>
      </c>
    </row>
    <row r="20" spans="2:15" ht="17.100000000000001" customHeight="1" x14ac:dyDescent="0.15">
      <c r="B20" s="51">
        <v>13</v>
      </c>
      <c r="C20" s="51">
        <v>10</v>
      </c>
      <c r="D20" s="48">
        <v>160000</v>
      </c>
      <c r="E20" s="2">
        <v>155000</v>
      </c>
      <c r="F20" s="3" t="s">
        <v>14</v>
      </c>
      <c r="G20" s="4">
        <f t="shared" si="2"/>
        <v>165000</v>
      </c>
      <c r="H20" s="5" t="s">
        <v>15</v>
      </c>
      <c r="I20" s="30">
        <f t="shared" si="1"/>
        <v>8232</v>
      </c>
      <c r="J20" s="30">
        <f t="shared" si="0"/>
        <v>9688</v>
      </c>
      <c r="K20" s="30">
        <f t="shared" si="0"/>
        <v>1455.9999999999995</v>
      </c>
      <c r="L20" s="31">
        <f t="shared" si="0"/>
        <v>14640</v>
      </c>
      <c r="N20" s="35">
        <v>155000</v>
      </c>
      <c r="O20" s="36">
        <v>160000</v>
      </c>
    </row>
    <row r="21" spans="2:15" ht="17.100000000000001" customHeight="1" x14ac:dyDescent="0.15">
      <c r="B21" s="51">
        <v>14</v>
      </c>
      <c r="C21" s="51">
        <v>11</v>
      </c>
      <c r="D21" s="48">
        <v>170000</v>
      </c>
      <c r="E21" s="2">
        <v>165000</v>
      </c>
      <c r="F21" s="3" t="s">
        <v>14</v>
      </c>
      <c r="G21" s="4">
        <f t="shared" si="2"/>
        <v>175000</v>
      </c>
      <c r="H21" s="5" t="s">
        <v>15</v>
      </c>
      <c r="I21" s="30">
        <f t="shared" si="1"/>
        <v>8746.5</v>
      </c>
      <c r="J21" s="30">
        <f t="shared" si="0"/>
        <v>10293.5</v>
      </c>
      <c r="K21" s="30">
        <f t="shared" si="0"/>
        <v>1546.9999999999995</v>
      </c>
      <c r="L21" s="31">
        <f t="shared" si="0"/>
        <v>15555</v>
      </c>
      <c r="N21" s="35">
        <v>165000</v>
      </c>
      <c r="O21" s="36">
        <v>170000</v>
      </c>
    </row>
    <row r="22" spans="2:15" ht="17.100000000000001" customHeight="1" x14ac:dyDescent="0.15">
      <c r="B22" s="51">
        <v>15</v>
      </c>
      <c r="C22" s="51">
        <v>12</v>
      </c>
      <c r="D22" s="48">
        <v>180000</v>
      </c>
      <c r="E22" s="2">
        <v>175000</v>
      </c>
      <c r="F22" s="3" t="s">
        <v>14</v>
      </c>
      <c r="G22" s="4">
        <f t="shared" si="2"/>
        <v>185000</v>
      </c>
      <c r="H22" s="5" t="s">
        <v>15</v>
      </c>
      <c r="I22" s="30">
        <f t="shared" si="1"/>
        <v>9261</v>
      </c>
      <c r="J22" s="30">
        <f t="shared" si="0"/>
        <v>10899</v>
      </c>
      <c r="K22" s="30">
        <f t="shared" si="0"/>
        <v>1637.9999999999995</v>
      </c>
      <c r="L22" s="31">
        <f t="shared" si="0"/>
        <v>16470</v>
      </c>
      <c r="N22" s="35">
        <v>175000</v>
      </c>
      <c r="O22" s="36">
        <v>180000</v>
      </c>
    </row>
    <row r="23" spans="2:15" ht="17.100000000000001" customHeight="1" x14ac:dyDescent="0.15">
      <c r="B23" s="51">
        <v>16</v>
      </c>
      <c r="C23" s="51">
        <v>13</v>
      </c>
      <c r="D23" s="48">
        <v>190000</v>
      </c>
      <c r="E23" s="2">
        <v>185000</v>
      </c>
      <c r="F23" s="3" t="s">
        <v>14</v>
      </c>
      <c r="G23" s="4">
        <f t="shared" si="2"/>
        <v>195000</v>
      </c>
      <c r="H23" s="5" t="s">
        <v>15</v>
      </c>
      <c r="I23" s="30">
        <f t="shared" si="1"/>
        <v>9775.5</v>
      </c>
      <c r="J23" s="30">
        <f t="shared" si="0"/>
        <v>11504.5</v>
      </c>
      <c r="K23" s="30">
        <f t="shared" si="0"/>
        <v>1728.9999999999993</v>
      </c>
      <c r="L23" s="31">
        <f t="shared" si="0"/>
        <v>17385</v>
      </c>
      <c r="N23" s="35">
        <v>185000</v>
      </c>
      <c r="O23" s="36">
        <v>190000</v>
      </c>
    </row>
    <row r="24" spans="2:15" ht="17.100000000000001" customHeight="1" x14ac:dyDescent="0.15">
      <c r="B24" s="51">
        <v>17</v>
      </c>
      <c r="C24" s="51">
        <v>14</v>
      </c>
      <c r="D24" s="48">
        <v>200000</v>
      </c>
      <c r="E24" s="2">
        <v>195000</v>
      </c>
      <c r="F24" s="3" t="s">
        <v>14</v>
      </c>
      <c r="G24" s="4">
        <f t="shared" si="2"/>
        <v>210000</v>
      </c>
      <c r="H24" s="5" t="s">
        <v>15</v>
      </c>
      <c r="I24" s="30">
        <f t="shared" si="1"/>
        <v>10290</v>
      </c>
      <c r="J24" s="30">
        <f t="shared" si="1"/>
        <v>12110</v>
      </c>
      <c r="K24" s="30">
        <f t="shared" si="1"/>
        <v>1819.9999999999993</v>
      </c>
      <c r="L24" s="31">
        <f t="shared" si="1"/>
        <v>18300</v>
      </c>
      <c r="N24" s="35">
        <v>195000</v>
      </c>
      <c r="O24" s="36">
        <v>200000</v>
      </c>
    </row>
    <row r="25" spans="2:15" ht="17.100000000000001" customHeight="1" x14ac:dyDescent="0.15">
      <c r="B25" s="51">
        <v>18</v>
      </c>
      <c r="C25" s="51">
        <v>15</v>
      </c>
      <c r="D25" s="48">
        <v>220000</v>
      </c>
      <c r="E25" s="2">
        <v>210000</v>
      </c>
      <c r="F25" s="3" t="s">
        <v>14</v>
      </c>
      <c r="G25" s="4">
        <f t="shared" si="2"/>
        <v>230000</v>
      </c>
      <c r="H25" s="5" t="s">
        <v>15</v>
      </c>
      <c r="I25" s="30">
        <f t="shared" si="1"/>
        <v>11319</v>
      </c>
      <c r="J25" s="30">
        <f t="shared" si="1"/>
        <v>13321</v>
      </c>
      <c r="K25" s="30">
        <f t="shared" si="1"/>
        <v>2001.9999999999993</v>
      </c>
      <c r="L25" s="31">
        <f t="shared" si="1"/>
        <v>20130</v>
      </c>
      <c r="N25" s="35">
        <v>210000</v>
      </c>
      <c r="O25" s="36">
        <v>220000</v>
      </c>
    </row>
    <row r="26" spans="2:15" ht="17.100000000000001" customHeight="1" x14ac:dyDescent="0.15">
      <c r="B26" s="51">
        <v>19</v>
      </c>
      <c r="C26" s="51">
        <v>16</v>
      </c>
      <c r="D26" s="48">
        <v>240000</v>
      </c>
      <c r="E26" s="2">
        <v>230000</v>
      </c>
      <c r="F26" s="3" t="s">
        <v>14</v>
      </c>
      <c r="G26" s="4">
        <f t="shared" si="2"/>
        <v>250000</v>
      </c>
      <c r="H26" s="5" t="s">
        <v>15</v>
      </c>
      <c r="I26" s="30">
        <f t="shared" si="1"/>
        <v>12348</v>
      </c>
      <c r="J26" s="30">
        <f t="shared" si="1"/>
        <v>14532</v>
      </c>
      <c r="K26" s="30">
        <f t="shared" si="1"/>
        <v>2183.9999999999991</v>
      </c>
      <c r="L26" s="31">
        <f t="shared" si="1"/>
        <v>21960</v>
      </c>
      <c r="N26" s="35">
        <v>230000</v>
      </c>
      <c r="O26" s="36">
        <v>240000</v>
      </c>
    </row>
    <row r="27" spans="2:15" ht="17.100000000000001" customHeight="1" x14ac:dyDescent="0.15">
      <c r="B27" s="51">
        <v>20</v>
      </c>
      <c r="C27" s="51">
        <v>17</v>
      </c>
      <c r="D27" s="48">
        <v>260000</v>
      </c>
      <c r="E27" s="2">
        <v>250000</v>
      </c>
      <c r="F27" s="3" t="s">
        <v>14</v>
      </c>
      <c r="G27" s="4">
        <f t="shared" si="2"/>
        <v>270000</v>
      </c>
      <c r="H27" s="5" t="s">
        <v>15</v>
      </c>
      <c r="I27" s="30">
        <f t="shared" si="1"/>
        <v>13377</v>
      </c>
      <c r="J27" s="30">
        <f t="shared" si="1"/>
        <v>15743</v>
      </c>
      <c r="K27" s="30">
        <f t="shared" si="1"/>
        <v>2365.9999999999991</v>
      </c>
      <c r="L27" s="31">
        <f t="shared" si="1"/>
        <v>23790</v>
      </c>
      <c r="N27" s="35">
        <v>250000</v>
      </c>
      <c r="O27" s="36">
        <v>260000</v>
      </c>
    </row>
    <row r="28" spans="2:15" ht="17.100000000000001" customHeight="1" x14ac:dyDescent="0.15">
      <c r="B28" s="51">
        <v>21</v>
      </c>
      <c r="C28" s="51">
        <v>18</v>
      </c>
      <c r="D28" s="48">
        <v>280000</v>
      </c>
      <c r="E28" s="2">
        <v>270000</v>
      </c>
      <c r="F28" s="3" t="s">
        <v>14</v>
      </c>
      <c r="G28" s="4">
        <f t="shared" si="2"/>
        <v>290000</v>
      </c>
      <c r="H28" s="5" t="s">
        <v>15</v>
      </c>
      <c r="I28" s="30">
        <f t="shared" si="1"/>
        <v>14406</v>
      </c>
      <c r="J28" s="30">
        <f t="shared" si="1"/>
        <v>16954</v>
      </c>
      <c r="K28" s="30">
        <f t="shared" si="1"/>
        <v>2547.9999999999991</v>
      </c>
      <c r="L28" s="31">
        <f t="shared" si="1"/>
        <v>25620</v>
      </c>
      <c r="N28" s="35">
        <v>270000</v>
      </c>
      <c r="O28" s="36">
        <v>280000</v>
      </c>
    </row>
    <row r="29" spans="2:15" ht="17.100000000000001" customHeight="1" x14ac:dyDescent="0.15">
      <c r="B29" s="51">
        <v>22</v>
      </c>
      <c r="C29" s="51">
        <v>19</v>
      </c>
      <c r="D29" s="48">
        <v>300000</v>
      </c>
      <c r="E29" s="2">
        <v>290000</v>
      </c>
      <c r="F29" s="3" t="s">
        <v>14</v>
      </c>
      <c r="G29" s="4">
        <f t="shared" si="2"/>
        <v>310000</v>
      </c>
      <c r="H29" s="5" t="s">
        <v>15</v>
      </c>
      <c r="I29" s="30">
        <f t="shared" si="1"/>
        <v>15435</v>
      </c>
      <c r="J29" s="30">
        <f t="shared" si="1"/>
        <v>18165</v>
      </c>
      <c r="K29" s="30">
        <f t="shared" si="1"/>
        <v>2729.9999999999991</v>
      </c>
      <c r="L29" s="31">
        <f t="shared" si="1"/>
        <v>27450</v>
      </c>
      <c r="N29" s="35">
        <v>290000</v>
      </c>
      <c r="O29" s="36">
        <v>300000</v>
      </c>
    </row>
    <row r="30" spans="2:15" ht="17.100000000000001" customHeight="1" x14ac:dyDescent="0.15">
      <c r="B30" s="51">
        <v>23</v>
      </c>
      <c r="C30" s="51">
        <v>20</v>
      </c>
      <c r="D30" s="48">
        <v>320000</v>
      </c>
      <c r="E30" s="2">
        <v>310000</v>
      </c>
      <c r="F30" s="3" t="s">
        <v>14</v>
      </c>
      <c r="G30" s="4">
        <f t="shared" si="2"/>
        <v>330000</v>
      </c>
      <c r="H30" s="5" t="s">
        <v>15</v>
      </c>
      <c r="I30" s="30">
        <f t="shared" si="1"/>
        <v>16464</v>
      </c>
      <c r="J30" s="30">
        <f t="shared" si="1"/>
        <v>19376</v>
      </c>
      <c r="K30" s="30">
        <f t="shared" si="1"/>
        <v>2911.9999999999991</v>
      </c>
      <c r="L30" s="31">
        <f t="shared" si="1"/>
        <v>29280</v>
      </c>
      <c r="N30" s="35">
        <v>310000</v>
      </c>
      <c r="O30" s="36">
        <v>320000</v>
      </c>
    </row>
    <row r="31" spans="2:15" ht="17.100000000000001" customHeight="1" x14ac:dyDescent="0.15">
      <c r="B31" s="51">
        <v>24</v>
      </c>
      <c r="C31" s="51">
        <v>21</v>
      </c>
      <c r="D31" s="48">
        <v>340000</v>
      </c>
      <c r="E31" s="2">
        <v>330000</v>
      </c>
      <c r="F31" s="3" t="s">
        <v>14</v>
      </c>
      <c r="G31" s="4">
        <f t="shared" si="2"/>
        <v>350000</v>
      </c>
      <c r="H31" s="5" t="s">
        <v>15</v>
      </c>
      <c r="I31" s="30">
        <f t="shared" si="1"/>
        <v>17493</v>
      </c>
      <c r="J31" s="30">
        <f t="shared" si="1"/>
        <v>20587</v>
      </c>
      <c r="K31" s="30">
        <f t="shared" si="1"/>
        <v>3093.9999999999991</v>
      </c>
      <c r="L31" s="31">
        <f t="shared" si="1"/>
        <v>31110</v>
      </c>
      <c r="N31" s="35">
        <v>330000</v>
      </c>
      <c r="O31" s="36">
        <v>340000</v>
      </c>
    </row>
    <row r="32" spans="2:15" ht="17.100000000000001" customHeight="1" x14ac:dyDescent="0.15">
      <c r="B32" s="51">
        <v>25</v>
      </c>
      <c r="C32" s="51">
        <v>22</v>
      </c>
      <c r="D32" s="48">
        <v>360000</v>
      </c>
      <c r="E32" s="2">
        <v>350000</v>
      </c>
      <c r="F32" s="3" t="s">
        <v>14</v>
      </c>
      <c r="G32" s="4">
        <f t="shared" si="2"/>
        <v>370000</v>
      </c>
      <c r="H32" s="5" t="s">
        <v>15</v>
      </c>
      <c r="I32" s="30">
        <f t="shared" si="1"/>
        <v>18522</v>
      </c>
      <c r="J32" s="30">
        <f t="shared" si="1"/>
        <v>21798</v>
      </c>
      <c r="K32" s="30">
        <f t="shared" si="1"/>
        <v>3275.9999999999991</v>
      </c>
      <c r="L32" s="31">
        <f t="shared" si="1"/>
        <v>32940</v>
      </c>
      <c r="N32" s="35">
        <v>350000</v>
      </c>
      <c r="O32" s="36">
        <v>360000</v>
      </c>
    </row>
    <row r="33" spans="2:15" ht="17.100000000000001" customHeight="1" x14ac:dyDescent="0.15">
      <c r="B33" s="51">
        <v>26</v>
      </c>
      <c r="C33" s="51">
        <v>23</v>
      </c>
      <c r="D33" s="48">
        <v>380000</v>
      </c>
      <c r="E33" s="2">
        <v>370000</v>
      </c>
      <c r="F33" s="3" t="s">
        <v>14</v>
      </c>
      <c r="G33" s="4">
        <f t="shared" si="2"/>
        <v>395000</v>
      </c>
      <c r="H33" s="5" t="s">
        <v>15</v>
      </c>
      <c r="I33" s="30">
        <f t="shared" si="1"/>
        <v>19551</v>
      </c>
      <c r="J33" s="30">
        <f t="shared" si="1"/>
        <v>23009</v>
      </c>
      <c r="K33" s="30">
        <f t="shared" si="1"/>
        <v>3457.9999999999986</v>
      </c>
      <c r="L33" s="31">
        <f t="shared" si="1"/>
        <v>34770</v>
      </c>
      <c r="N33" s="35">
        <v>370000</v>
      </c>
      <c r="O33" s="36">
        <v>380000</v>
      </c>
    </row>
    <row r="34" spans="2:15" ht="17.100000000000001" customHeight="1" x14ac:dyDescent="0.15">
      <c r="B34" s="51">
        <v>27</v>
      </c>
      <c r="C34" s="51">
        <v>24</v>
      </c>
      <c r="D34" s="48">
        <v>410000</v>
      </c>
      <c r="E34" s="2">
        <v>395000</v>
      </c>
      <c r="F34" s="3" t="s">
        <v>14</v>
      </c>
      <c r="G34" s="4">
        <f t="shared" si="2"/>
        <v>425000</v>
      </c>
      <c r="H34" s="5" t="s">
        <v>15</v>
      </c>
      <c r="I34" s="30">
        <f t="shared" si="1"/>
        <v>21094.5</v>
      </c>
      <c r="J34" s="30">
        <f t="shared" si="1"/>
        <v>24825.5</v>
      </c>
      <c r="K34" s="30">
        <f t="shared" si="1"/>
        <v>3730.9999999999986</v>
      </c>
      <c r="L34" s="31">
        <f t="shared" si="1"/>
        <v>37515</v>
      </c>
      <c r="N34" s="35">
        <v>395000</v>
      </c>
      <c r="O34" s="36">
        <v>410000</v>
      </c>
    </row>
    <row r="35" spans="2:15" ht="17.100000000000001" customHeight="1" x14ac:dyDescent="0.15">
      <c r="B35" s="51">
        <v>28</v>
      </c>
      <c r="C35" s="51">
        <v>25</v>
      </c>
      <c r="D35" s="48">
        <v>440000</v>
      </c>
      <c r="E35" s="2">
        <v>425000</v>
      </c>
      <c r="F35" s="3" t="s">
        <v>14</v>
      </c>
      <c r="G35" s="4">
        <f t="shared" si="2"/>
        <v>455000</v>
      </c>
      <c r="H35" s="5" t="s">
        <v>15</v>
      </c>
      <c r="I35" s="30">
        <f t="shared" si="1"/>
        <v>22638</v>
      </c>
      <c r="J35" s="30">
        <f t="shared" si="1"/>
        <v>26642</v>
      </c>
      <c r="K35" s="30">
        <f t="shared" si="1"/>
        <v>4003.9999999999986</v>
      </c>
      <c r="L35" s="31">
        <f t="shared" si="1"/>
        <v>40260</v>
      </c>
      <c r="N35" s="35">
        <v>425000</v>
      </c>
      <c r="O35" s="36">
        <v>440000</v>
      </c>
    </row>
    <row r="36" spans="2:15" ht="17.100000000000001" customHeight="1" x14ac:dyDescent="0.15">
      <c r="B36" s="51">
        <v>29</v>
      </c>
      <c r="C36" s="51">
        <v>26</v>
      </c>
      <c r="D36" s="48">
        <v>470000</v>
      </c>
      <c r="E36" s="2">
        <v>455000</v>
      </c>
      <c r="F36" s="3" t="s">
        <v>14</v>
      </c>
      <c r="G36" s="4">
        <f t="shared" si="2"/>
        <v>485000</v>
      </c>
      <c r="H36" s="5" t="s">
        <v>15</v>
      </c>
      <c r="I36" s="30">
        <f t="shared" si="1"/>
        <v>24181.5</v>
      </c>
      <c r="J36" s="30">
        <f t="shared" si="1"/>
        <v>28458.5</v>
      </c>
      <c r="K36" s="30">
        <f t="shared" si="1"/>
        <v>4276.9999999999982</v>
      </c>
      <c r="L36" s="31">
        <f t="shared" si="1"/>
        <v>43005</v>
      </c>
      <c r="N36" s="35">
        <v>455000</v>
      </c>
      <c r="O36" s="36">
        <v>470000</v>
      </c>
    </row>
    <row r="37" spans="2:15" ht="17.100000000000001" customHeight="1" x14ac:dyDescent="0.15">
      <c r="B37" s="51">
        <v>30</v>
      </c>
      <c r="C37" s="51">
        <v>27</v>
      </c>
      <c r="D37" s="48">
        <v>500000</v>
      </c>
      <c r="E37" s="2">
        <v>485000</v>
      </c>
      <c r="F37" s="3" t="s">
        <v>14</v>
      </c>
      <c r="G37" s="4">
        <f t="shared" si="2"/>
        <v>515000</v>
      </c>
      <c r="H37" s="5" t="s">
        <v>15</v>
      </c>
      <c r="I37" s="30">
        <f t="shared" si="1"/>
        <v>25725</v>
      </c>
      <c r="J37" s="30">
        <f t="shared" si="1"/>
        <v>30275</v>
      </c>
      <c r="K37" s="54">
        <f t="shared" si="1"/>
        <v>4549.9999999999982</v>
      </c>
      <c r="L37" s="55">
        <f>$D37*L$4/2</f>
        <v>45750</v>
      </c>
      <c r="N37" s="37">
        <v>485000</v>
      </c>
      <c r="O37" s="38">
        <v>500000</v>
      </c>
    </row>
    <row r="38" spans="2:15" ht="17.100000000000001" customHeight="1" x14ac:dyDescent="0.15">
      <c r="B38" s="51">
        <v>31</v>
      </c>
      <c r="C38" s="51">
        <v>28</v>
      </c>
      <c r="D38" s="48">
        <v>530000</v>
      </c>
      <c r="E38" s="2">
        <v>515000</v>
      </c>
      <c r="F38" s="3" t="s">
        <v>14</v>
      </c>
      <c r="G38" s="4">
        <f t="shared" si="2"/>
        <v>545000</v>
      </c>
      <c r="H38" s="5" t="s">
        <v>15</v>
      </c>
      <c r="I38" s="32">
        <f t="shared" si="1"/>
        <v>27268.5</v>
      </c>
      <c r="J38" s="30">
        <f t="shared" si="1"/>
        <v>32091.5</v>
      </c>
      <c r="K38" s="30">
        <f t="shared" si="1"/>
        <v>4822.9999999999982</v>
      </c>
      <c r="L38" s="31">
        <f t="shared" si="1"/>
        <v>48495</v>
      </c>
      <c r="N38" s="35">
        <v>515000</v>
      </c>
      <c r="O38" s="36">
        <v>530000</v>
      </c>
    </row>
    <row r="39" spans="2:15" ht="17.100000000000001" customHeight="1" x14ac:dyDescent="0.15">
      <c r="B39" s="51">
        <v>32</v>
      </c>
      <c r="C39" s="51">
        <v>29</v>
      </c>
      <c r="D39" s="48">
        <v>560000</v>
      </c>
      <c r="E39" s="2">
        <v>545000</v>
      </c>
      <c r="F39" s="3" t="s">
        <v>14</v>
      </c>
      <c r="G39" s="4">
        <f t="shared" si="2"/>
        <v>575000</v>
      </c>
      <c r="H39" s="5" t="s">
        <v>15</v>
      </c>
      <c r="I39" s="30">
        <f t="shared" si="1"/>
        <v>28812</v>
      </c>
      <c r="J39" s="30">
        <f t="shared" si="1"/>
        <v>33908</v>
      </c>
      <c r="K39" s="30">
        <f t="shared" si="1"/>
        <v>5095.9999999999982</v>
      </c>
      <c r="L39" s="31">
        <f t="shared" si="1"/>
        <v>51240</v>
      </c>
      <c r="N39" s="35">
        <v>545000</v>
      </c>
      <c r="O39" s="36">
        <v>560000</v>
      </c>
    </row>
    <row r="40" spans="2:15" ht="17.100000000000001" customHeight="1" x14ac:dyDescent="0.15">
      <c r="B40" s="51">
        <v>33</v>
      </c>
      <c r="C40" s="51">
        <v>30</v>
      </c>
      <c r="D40" s="48">
        <v>590000</v>
      </c>
      <c r="E40" s="2">
        <v>575000</v>
      </c>
      <c r="F40" s="3" t="s">
        <v>14</v>
      </c>
      <c r="G40" s="4">
        <f t="shared" si="2"/>
        <v>605000</v>
      </c>
      <c r="H40" s="5" t="s">
        <v>15</v>
      </c>
      <c r="I40" s="30">
        <f t="shared" si="1"/>
        <v>30355.5</v>
      </c>
      <c r="J40" s="30">
        <f t="shared" si="1"/>
        <v>35724.5</v>
      </c>
      <c r="K40" s="30">
        <f t="shared" si="1"/>
        <v>5368.9999999999982</v>
      </c>
      <c r="L40" s="31">
        <f t="shared" si="1"/>
        <v>53985</v>
      </c>
      <c r="N40" s="35">
        <v>575000</v>
      </c>
      <c r="O40" s="36">
        <v>590000</v>
      </c>
    </row>
    <row r="41" spans="2:15" ht="17.100000000000001" customHeight="1" x14ac:dyDescent="0.15">
      <c r="B41" s="51">
        <v>34</v>
      </c>
      <c r="C41" s="51">
        <v>31</v>
      </c>
      <c r="D41" s="48">
        <v>620000</v>
      </c>
      <c r="E41" s="2">
        <v>605000</v>
      </c>
      <c r="F41" s="3" t="s">
        <v>14</v>
      </c>
      <c r="G41" s="4">
        <f t="shared" si="2"/>
        <v>635000</v>
      </c>
      <c r="H41" s="5" t="s">
        <v>15</v>
      </c>
      <c r="I41" s="30">
        <f t="shared" si="1"/>
        <v>31899</v>
      </c>
      <c r="J41" s="30">
        <f t="shared" si="1"/>
        <v>37541</v>
      </c>
      <c r="K41" s="30">
        <f t="shared" si="1"/>
        <v>5641.9999999999982</v>
      </c>
      <c r="L41" s="31">
        <f t="shared" si="1"/>
        <v>56730</v>
      </c>
      <c r="N41" s="35">
        <v>605000</v>
      </c>
      <c r="O41" s="36">
        <v>620000</v>
      </c>
    </row>
    <row r="42" spans="2:15" ht="17.100000000000001" customHeight="1" thickBot="1" x14ac:dyDescent="0.2">
      <c r="B42" s="51">
        <v>35</v>
      </c>
      <c r="C42" s="51">
        <v>32</v>
      </c>
      <c r="D42" s="48">
        <v>650000</v>
      </c>
      <c r="E42" s="2">
        <v>635000</v>
      </c>
      <c r="F42" s="3" t="s">
        <v>14</v>
      </c>
      <c r="G42" s="4">
        <f t="shared" si="2"/>
        <v>665000</v>
      </c>
      <c r="H42" s="5" t="s">
        <v>15</v>
      </c>
      <c r="I42" s="30">
        <f t="shared" si="1"/>
        <v>33442.5</v>
      </c>
      <c r="J42" s="30">
        <f t="shared" si="1"/>
        <v>39357.5</v>
      </c>
      <c r="K42" s="30">
        <f t="shared" si="1"/>
        <v>5914.9999999999982</v>
      </c>
      <c r="L42" s="56">
        <f t="shared" si="1"/>
        <v>59475</v>
      </c>
      <c r="N42" s="35">
        <v>635000</v>
      </c>
      <c r="O42" s="36">
        <v>650000</v>
      </c>
    </row>
    <row r="43" spans="2:15" ht="17.100000000000001" customHeight="1" x14ac:dyDescent="0.15">
      <c r="B43" s="51">
        <v>36</v>
      </c>
      <c r="C43" s="51">
        <v>32</v>
      </c>
      <c r="D43" s="48">
        <v>680000</v>
      </c>
      <c r="E43" s="2">
        <v>665000</v>
      </c>
      <c r="F43" s="3" t="s">
        <v>14</v>
      </c>
      <c r="G43" s="4">
        <f t="shared" si="2"/>
        <v>695000</v>
      </c>
      <c r="H43" s="5" t="s">
        <v>15</v>
      </c>
      <c r="I43" s="30">
        <f t="shared" si="1"/>
        <v>34986</v>
      </c>
      <c r="J43" s="30">
        <f t="shared" si="1"/>
        <v>41174</v>
      </c>
      <c r="K43" s="30">
        <f t="shared" si="1"/>
        <v>6187.9999999999982</v>
      </c>
      <c r="L43" s="6"/>
      <c r="N43" s="35">
        <v>665000</v>
      </c>
      <c r="O43" s="36">
        <v>680000</v>
      </c>
    </row>
    <row r="44" spans="2:15" ht="17.100000000000001" customHeight="1" x14ac:dyDescent="0.15">
      <c r="B44" s="51">
        <v>37</v>
      </c>
      <c r="C44" s="51">
        <v>32</v>
      </c>
      <c r="D44" s="48">
        <v>710000</v>
      </c>
      <c r="E44" s="2">
        <v>695000</v>
      </c>
      <c r="F44" s="3" t="s">
        <v>14</v>
      </c>
      <c r="G44" s="4">
        <f t="shared" si="2"/>
        <v>730000</v>
      </c>
      <c r="H44" s="5" t="s">
        <v>15</v>
      </c>
      <c r="I44" s="30">
        <f t="shared" si="1"/>
        <v>36529.5</v>
      </c>
      <c r="J44" s="30">
        <f t="shared" si="1"/>
        <v>42990.5</v>
      </c>
      <c r="K44" s="30">
        <f t="shared" si="1"/>
        <v>6460.9999999999982</v>
      </c>
      <c r="L44" s="6"/>
      <c r="N44" s="35">
        <v>695000</v>
      </c>
      <c r="O44" s="36">
        <v>710000</v>
      </c>
    </row>
    <row r="45" spans="2:15" x14ac:dyDescent="0.15">
      <c r="B45" s="51">
        <v>38</v>
      </c>
      <c r="C45" s="51">
        <v>32</v>
      </c>
      <c r="D45" s="662">
        <v>750000</v>
      </c>
      <c r="E45" s="2">
        <v>730000</v>
      </c>
      <c r="F45" s="3" t="s">
        <v>14</v>
      </c>
      <c r="G45" s="4">
        <f t="shared" si="2"/>
        <v>770000</v>
      </c>
      <c r="H45" s="5" t="s">
        <v>15</v>
      </c>
      <c r="I45" s="30">
        <f t="shared" si="1"/>
        <v>38587.5</v>
      </c>
      <c r="J45" s="30">
        <f t="shared" si="1"/>
        <v>45412.5</v>
      </c>
      <c r="K45" s="30">
        <f t="shared" si="1"/>
        <v>6824.9999999999982</v>
      </c>
      <c r="L45" s="6"/>
      <c r="N45" s="35">
        <v>730000</v>
      </c>
      <c r="O45" s="36">
        <v>750000</v>
      </c>
    </row>
    <row r="46" spans="2:15" x14ac:dyDescent="0.15">
      <c r="B46" s="52">
        <v>39</v>
      </c>
      <c r="C46" s="52">
        <v>32</v>
      </c>
      <c r="D46" s="662">
        <v>790000</v>
      </c>
      <c r="E46" s="2">
        <v>770000</v>
      </c>
      <c r="F46" s="3" t="s">
        <v>50</v>
      </c>
      <c r="G46" s="663">
        <f t="shared" si="2"/>
        <v>810000</v>
      </c>
      <c r="H46" s="5" t="s">
        <v>15</v>
      </c>
      <c r="I46" s="54">
        <f t="shared" si="1"/>
        <v>40645.5</v>
      </c>
      <c r="J46" s="54">
        <f t="shared" si="1"/>
        <v>47834.5</v>
      </c>
      <c r="K46" s="30">
        <f t="shared" si="1"/>
        <v>7188.9999999999973</v>
      </c>
      <c r="L46" s="6"/>
      <c r="N46" s="35">
        <v>770000</v>
      </c>
      <c r="O46" s="36">
        <v>790000</v>
      </c>
    </row>
    <row r="47" spans="2:15" x14ac:dyDescent="0.15">
      <c r="B47" s="51">
        <v>40</v>
      </c>
      <c r="C47" s="51">
        <v>32</v>
      </c>
      <c r="D47" s="664">
        <v>830000</v>
      </c>
      <c r="E47" s="665">
        <v>810000</v>
      </c>
      <c r="F47" s="666" t="s">
        <v>50</v>
      </c>
      <c r="G47" s="663">
        <f t="shared" si="2"/>
        <v>855000</v>
      </c>
      <c r="H47" s="5" t="s">
        <v>15</v>
      </c>
      <c r="I47" s="30">
        <f t="shared" si="1"/>
        <v>42703.5</v>
      </c>
      <c r="J47" s="30">
        <f t="shared" si="1"/>
        <v>50256.5</v>
      </c>
      <c r="K47" s="30">
        <f t="shared" si="1"/>
        <v>7552.9999999999973</v>
      </c>
      <c r="N47" s="35">
        <v>810000</v>
      </c>
      <c r="O47" s="36">
        <v>830000</v>
      </c>
    </row>
    <row r="48" spans="2:15" x14ac:dyDescent="0.15">
      <c r="B48" s="51">
        <v>41</v>
      </c>
      <c r="C48" s="51">
        <v>32</v>
      </c>
      <c r="D48" s="664">
        <v>880000</v>
      </c>
      <c r="E48" s="665">
        <v>855000</v>
      </c>
      <c r="F48" s="3" t="s">
        <v>14</v>
      </c>
      <c r="G48" s="667">
        <f t="shared" si="2"/>
        <v>905000</v>
      </c>
      <c r="H48" s="5" t="s">
        <v>15</v>
      </c>
      <c r="I48" s="30">
        <f t="shared" ref="I48:K57" si="3">$D48*I$4/2</f>
        <v>45276</v>
      </c>
      <c r="J48" s="30">
        <f t="shared" si="3"/>
        <v>53284</v>
      </c>
      <c r="K48" s="30">
        <f t="shared" si="3"/>
        <v>8007.9999999999973</v>
      </c>
      <c r="L48" s="9"/>
      <c r="N48" s="35">
        <v>855000</v>
      </c>
      <c r="O48" s="36">
        <v>880000</v>
      </c>
    </row>
    <row r="49" spans="2:15" ht="13.5" customHeight="1" x14ac:dyDescent="0.15">
      <c r="B49" s="51">
        <v>42</v>
      </c>
      <c r="C49" s="51">
        <v>32</v>
      </c>
      <c r="D49" s="664">
        <v>930000</v>
      </c>
      <c r="E49" s="665">
        <v>905000</v>
      </c>
      <c r="F49" s="3" t="s">
        <v>14</v>
      </c>
      <c r="G49" s="667">
        <f t="shared" si="2"/>
        <v>955000</v>
      </c>
      <c r="H49" s="5" t="s">
        <v>15</v>
      </c>
      <c r="I49" s="30">
        <f t="shared" si="3"/>
        <v>47848.5</v>
      </c>
      <c r="J49" s="30">
        <f t="shared" si="3"/>
        <v>56311.5</v>
      </c>
      <c r="K49" s="30">
        <f t="shared" si="3"/>
        <v>8462.9999999999964</v>
      </c>
      <c r="L49" s="9"/>
      <c r="N49" s="35">
        <v>905000</v>
      </c>
      <c r="O49" s="36">
        <v>930000</v>
      </c>
    </row>
    <row r="50" spans="2:15" x14ac:dyDescent="0.15">
      <c r="B50" s="51">
        <v>43</v>
      </c>
      <c r="C50" s="51">
        <v>32</v>
      </c>
      <c r="D50" s="664">
        <v>980000</v>
      </c>
      <c r="E50" s="665">
        <v>955000</v>
      </c>
      <c r="F50" s="3" t="s">
        <v>14</v>
      </c>
      <c r="G50" s="667">
        <f t="shared" si="2"/>
        <v>1005000</v>
      </c>
      <c r="H50" s="5" t="s">
        <v>15</v>
      </c>
      <c r="I50" s="30">
        <f t="shared" si="3"/>
        <v>50421</v>
      </c>
      <c r="J50" s="30">
        <f t="shared" si="3"/>
        <v>59339</v>
      </c>
      <c r="K50" s="30">
        <f t="shared" si="3"/>
        <v>8917.9999999999964</v>
      </c>
      <c r="N50" s="35">
        <v>955000</v>
      </c>
      <c r="O50" s="36">
        <v>980000</v>
      </c>
    </row>
    <row r="51" spans="2:15" x14ac:dyDescent="0.15">
      <c r="B51" s="51">
        <v>44</v>
      </c>
      <c r="C51" s="51">
        <v>32</v>
      </c>
      <c r="D51" s="664">
        <v>1030000</v>
      </c>
      <c r="E51" s="665">
        <v>1005000</v>
      </c>
      <c r="F51" s="3" t="s">
        <v>14</v>
      </c>
      <c r="G51" s="667">
        <f t="shared" si="2"/>
        <v>1055000</v>
      </c>
      <c r="H51" s="5" t="s">
        <v>15</v>
      </c>
      <c r="I51" s="30">
        <f t="shared" si="3"/>
        <v>52993.5</v>
      </c>
      <c r="J51" s="30">
        <f t="shared" si="3"/>
        <v>62366.5</v>
      </c>
      <c r="K51" s="30">
        <f t="shared" si="3"/>
        <v>9372.9999999999964</v>
      </c>
      <c r="N51" s="35">
        <v>1005000</v>
      </c>
      <c r="O51" s="36">
        <v>1030000</v>
      </c>
    </row>
    <row r="52" spans="2:15" x14ac:dyDescent="0.15">
      <c r="B52" s="51">
        <v>45</v>
      </c>
      <c r="C52" s="51">
        <v>32</v>
      </c>
      <c r="D52" s="664">
        <v>1090000</v>
      </c>
      <c r="E52" s="665">
        <v>1055000</v>
      </c>
      <c r="F52" s="3" t="s">
        <v>14</v>
      </c>
      <c r="G52" s="667">
        <f t="shared" si="2"/>
        <v>1115000</v>
      </c>
      <c r="H52" s="5" t="s">
        <v>15</v>
      </c>
      <c r="I52" s="30">
        <f t="shared" si="3"/>
        <v>56080.5</v>
      </c>
      <c r="J52" s="30">
        <f t="shared" si="3"/>
        <v>65999.5</v>
      </c>
      <c r="K52" s="30">
        <f t="shared" si="3"/>
        <v>9918.9999999999964</v>
      </c>
      <c r="N52" s="35">
        <v>1055000</v>
      </c>
      <c r="O52" s="36">
        <v>1090000</v>
      </c>
    </row>
    <row r="53" spans="2:15" x14ac:dyDescent="0.15">
      <c r="B53" s="51">
        <v>46</v>
      </c>
      <c r="C53" s="51">
        <v>32</v>
      </c>
      <c r="D53" s="664">
        <v>1150000</v>
      </c>
      <c r="E53" s="665">
        <v>1115000</v>
      </c>
      <c r="F53" s="3" t="s">
        <v>14</v>
      </c>
      <c r="G53" s="667">
        <f t="shared" si="2"/>
        <v>1175000</v>
      </c>
      <c r="H53" s="5" t="s">
        <v>15</v>
      </c>
      <c r="I53" s="30">
        <f t="shared" si="3"/>
        <v>59167.5</v>
      </c>
      <c r="J53" s="30">
        <f t="shared" si="3"/>
        <v>69632.5</v>
      </c>
      <c r="K53" s="30">
        <f t="shared" si="3"/>
        <v>10464.999999999996</v>
      </c>
      <c r="N53" s="35">
        <v>1115000</v>
      </c>
      <c r="O53" s="36">
        <v>1150000</v>
      </c>
    </row>
    <row r="54" spans="2:15" x14ac:dyDescent="0.15">
      <c r="B54" s="51">
        <v>47</v>
      </c>
      <c r="C54" s="51">
        <v>32</v>
      </c>
      <c r="D54" s="664">
        <v>1210000</v>
      </c>
      <c r="E54" s="665">
        <v>1175000</v>
      </c>
      <c r="F54" s="3" t="s">
        <v>14</v>
      </c>
      <c r="G54" s="667">
        <f t="shared" si="2"/>
        <v>1235000</v>
      </c>
      <c r="H54" s="5" t="s">
        <v>15</v>
      </c>
      <c r="I54" s="30">
        <f t="shared" si="3"/>
        <v>62254.5</v>
      </c>
      <c r="J54" s="30">
        <f t="shared" si="3"/>
        <v>73265.5</v>
      </c>
      <c r="K54" s="30">
        <f t="shared" si="3"/>
        <v>11010.999999999996</v>
      </c>
      <c r="N54" s="35">
        <v>1175000</v>
      </c>
      <c r="O54" s="36">
        <v>1210000</v>
      </c>
    </row>
    <row r="55" spans="2:15" x14ac:dyDescent="0.15">
      <c r="B55" s="51">
        <v>48</v>
      </c>
      <c r="C55" s="51">
        <v>32</v>
      </c>
      <c r="D55" s="664">
        <v>1270000</v>
      </c>
      <c r="E55" s="665">
        <v>1235000</v>
      </c>
      <c r="F55" s="3" t="s">
        <v>14</v>
      </c>
      <c r="G55" s="667">
        <f t="shared" si="2"/>
        <v>1295000</v>
      </c>
      <c r="H55" s="5" t="s">
        <v>15</v>
      </c>
      <c r="I55" s="30">
        <f t="shared" si="3"/>
        <v>65341.5</v>
      </c>
      <c r="J55" s="30">
        <f t="shared" si="3"/>
        <v>76898.5</v>
      </c>
      <c r="K55" s="30">
        <f t="shared" si="3"/>
        <v>11556.999999999996</v>
      </c>
      <c r="N55" s="35">
        <v>1235000</v>
      </c>
      <c r="O55" s="36">
        <v>1270000</v>
      </c>
    </row>
    <row r="56" spans="2:15" x14ac:dyDescent="0.15">
      <c r="B56" s="51">
        <v>49</v>
      </c>
      <c r="C56" s="51">
        <v>32</v>
      </c>
      <c r="D56" s="664">
        <v>1330000</v>
      </c>
      <c r="E56" s="665">
        <v>1295000</v>
      </c>
      <c r="F56" s="3" t="s">
        <v>14</v>
      </c>
      <c r="G56" s="667">
        <f t="shared" si="2"/>
        <v>1355000</v>
      </c>
      <c r="H56" s="5" t="s">
        <v>15</v>
      </c>
      <c r="I56" s="30">
        <f t="shared" si="3"/>
        <v>68428.5</v>
      </c>
      <c r="J56" s="30">
        <f t="shared" si="3"/>
        <v>80531.5</v>
      </c>
      <c r="K56" s="30">
        <f t="shared" si="3"/>
        <v>12102.999999999996</v>
      </c>
      <c r="N56" s="35">
        <v>1295000</v>
      </c>
      <c r="O56" s="36">
        <v>1330000</v>
      </c>
    </row>
    <row r="57" spans="2:15" ht="14.25" thickBot="1" x14ac:dyDescent="0.2">
      <c r="B57" s="53">
        <v>50</v>
      </c>
      <c r="C57" s="53">
        <v>32</v>
      </c>
      <c r="D57" s="664">
        <v>1390000</v>
      </c>
      <c r="E57" s="665">
        <v>1355000</v>
      </c>
      <c r="F57" s="3" t="s">
        <v>14</v>
      </c>
      <c r="G57" s="667">
        <f t="shared" si="2"/>
        <v>0</v>
      </c>
      <c r="H57" s="5" t="s">
        <v>15</v>
      </c>
      <c r="I57" s="30">
        <f t="shared" si="3"/>
        <v>71515.5</v>
      </c>
      <c r="J57" s="30">
        <f t="shared" si="3"/>
        <v>84164.5</v>
      </c>
      <c r="K57" s="30">
        <f t="shared" si="3"/>
        <v>12648.999999999996</v>
      </c>
      <c r="N57" s="39">
        <v>1355000</v>
      </c>
      <c r="O57" s="40">
        <v>1390000</v>
      </c>
    </row>
    <row r="58" spans="2:15" x14ac:dyDescent="0.15">
      <c r="I58" t="s">
        <v>22</v>
      </c>
    </row>
    <row r="59" spans="2:15" x14ac:dyDescent="0.15">
      <c r="J59" s="7"/>
      <c r="K59" s="7"/>
      <c r="L59" s="8"/>
    </row>
  </sheetData>
  <sheetProtection sheet="1" objects="1" scenarios="1"/>
  <mergeCells count="3">
    <mergeCell ref="B5:D5"/>
    <mergeCell ref="I5:L5"/>
    <mergeCell ref="E6:H6"/>
  </mergeCells>
  <phoneticPr fontId="3"/>
  <printOptions horizontalCentered="1"/>
  <pageMargins left="0.39370078740157483" right="0.39370078740157483" top="0.98425196850393704" bottom="0.98425196850393704" header="0.51181102362204722" footer="0.51181102362204722"/>
  <pageSetup paperSize="9" scale="75" orientation="portrait"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E2C0F-28E6-4579-BC3C-8C0A5B58E57E}">
  <sheetPr>
    <tabColor rgb="FF00FFFF"/>
  </sheetPr>
  <dimension ref="B1:Q59"/>
  <sheetViews>
    <sheetView showGridLines="0" zoomScaleNormal="100" workbookViewId="0">
      <selection activeCell="A4" sqref="A4"/>
    </sheetView>
  </sheetViews>
  <sheetFormatPr defaultRowHeight="13.5" x14ac:dyDescent="0.15"/>
  <cols>
    <col min="2" max="2" width="19.25" customWidth="1"/>
    <col min="3" max="3" width="5.125" customWidth="1"/>
    <col min="4" max="4" width="3.625" customWidth="1"/>
    <col min="5" max="5" width="11.375" customWidth="1"/>
    <col min="6" max="6" width="3.875" customWidth="1"/>
    <col min="7" max="7" width="14.875" customWidth="1"/>
    <col min="8" max="8" width="4.625" customWidth="1"/>
    <col min="9" max="10" width="15.625" customWidth="1"/>
    <col min="11" max="11" width="16.25" customWidth="1"/>
    <col min="12" max="12" width="15" customWidth="1"/>
    <col min="14" max="17" width="12.875" customWidth="1"/>
  </cols>
  <sheetData>
    <row r="1" spans="2:17" s="17" customFormat="1" ht="20.25" customHeight="1" x14ac:dyDescent="0.15">
      <c r="B1" s="708">
        <v>1</v>
      </c>
      <c r="C1" s="17">
        <v>2</v>
      </c>
      <c r="D1" s="17">
        <v>3</v>
      </c>
      <c r="E1" s="17">
        <v>4</v>
      </c>
      <c r="F1" s="17">
        <v>5</v>
      </c>
      <c r="G1" s="17">
        <v>6</v>
      </c>
      <c r="H1" s="17">
        <v>7</v>
      </c>
      <c r="I1" s="17">
        <v>8</v>
      </c>
    </row>
    <row r="2" spans="2:17" ht="24.75" customHeight="1" thickBot="1" x14ac:dyDescent="0.2">
      <c r="B2" s="709" t="s">
        <v>63</v>
      </c>
      <c r="N2" s="58" t="s">
        <v>16</v>
      </c>
    </row>
    <row r="3" spans="2:17" ht="21.95" customHeight="1" thickBot="1" x14ac:dyDescent="0.2">
      <c r="B3" s="891" t="s">
        <v>61</v>
      </c>
      <c r="C3" s="892"/>
      <c r="D3" s="892"/>
      <c r="E3" s="892"/>
      <c r="F3" s="892"/>
      <c r="G3" s="893"/>
      <c r="H3" s="710" t="s">
        <v>62</v>
      </c>
      <c r="I3" s="711" t="s">
        <v>57</v>
      </c>
      <c r="N3" s="896" t="s">
        <v>20</v>
      </c>
      <c r="O3" s="897"/>
      <c r="P3" s="896" t="s">
        <v>86</v>
      </c>
      <c r="Q3" s="897"/>
    </row>
    <row r="4" spans="2:17" ht="37.5" customHeight="1" x14ac:dyDescent="0.15">
      <c r="B4" s="898" t="s">
        <v>53</v>
      </c>
      <c r="C4" s="899"/>
      <c r="D4" s="712"/>
      <c r="E4" s="900" t="s">
        <v>54</v>
      </c>
      <c r="F4" s="900"/>
      <c r="G4" s="899"/>
      <c r="H4" s="713"/>
      <c r="I4" s="609" t="s">
        <v>57</v>
      </c>
      <c r="K4" s="901" t="s">
        <v>16</v>
      </c>
      <c r="L4" s="902"/>
      <c r="N4" s="714">
        <v>-2000000</v>
      </c>
      <c r="O4" s="715">
        <v>0</v>
      </c>
      <c r="P4" s="714">
        <v>-2000000</v>
      </c>
      <c r="Q4" s="716">
        <v>0</v>
      </c>
    </row>
    <row r="5" spans="2:17" ht="21.95" customHeight="1" x14ac:dyDescent="0.15">
      <c r="B5" s="717">
        <v>1625000</v>
      </c>
      <c r="C5" s="718" t="s">
        <v>55</v>
      </c>
      <c r="D5" s="719"/>
      <c r="E5" s="720">
        <v>550000</v>
      </c>
      <c r="F5" s="717"/>
      <c r="G5" s="720"/>
      <c r="H5" s="721" t="s">
        <v>62</v>
      </c>
      <c r="I5" s="722">
        <v>480000</v>
      </c>
      <c r="K5" s="723">
        <v>0</v>
      </c>
      <c r="L5" s="724">
        <v>1625000</v>
      </c>
      <c r="N5" s="714">
        <v>1</v>
      </c>
      <c r="O5" s="715">
        <v>0.05</v>
      </c>
      <c r="P5" s="714">
        <v>1</v>
      </c>
      <c r="Q5" s="716">
        <v>0</v>
      </c>
    </row>
    <row r="6" spans="2:17" ht="21.95" customHeight="1" x14ac:dyDescent="0.15">
      <c r="B6" s="717">
        <v>1800000</v>
      </c>
      <c r="C6" s="718" t="s">
        <v>55</v>
      </c>
      <c r="D6" s="719" t="s">
        <v>58</v>
      </c>
      <c r="E6" s="725">
        <v>0.4</v>
      </c>
      <c r="F6" s="721" t="s">
        <v>46</v>
      </c>
      <c r="G6" s="720">
        <v>-100000</v>
      </c>
      <c r="H6" s="721" t="s">
        <v>62</v>
      </c>
      <c r="I6" s="722">
        <v>480000</v>
      </c>
      <c r="K6" s="726">
        <f>$B5+1</f>
        <v>1625001</v>
      </c>
      <c r="L6" s="724">
        <v>1800000</v>
      </c>
      <c r="N6" s="714">
        <v>1950001</v>
      </c>
      <c r="O6" s="715">
        <v>0.1</v>
      </c>
      <c r="P6" s="714">
        <v>1950001</v>
      </c>
      <c r="Q6" s="716">
        <v>97500</v>
      </c>
    </row>
    <row r="7" spans="2:17" ht="21.95" customHeight="1" x14ac:dyDescent="0.15">
      <c r="B7" s="717">
        <v>3600000</v>
      </c>
      <c r="C7" s="718" t="s">
        <v>55</v>
      </c>
      <c r="D7" s="719" t="s">
        <v>58</v>
      </c>
      <c r="E7" s="725">
        <v>0.3</v>
      </c>
      <c r="F7" s="721" t="s">
        <v>46</v>
      </c>
      <c r="G7" s="720">
        <v>80000</v>
      </c>
      <c r="H7" s="721" t="s">
        <v>62</v>
      </c>
      <c r="I7" s="722">
        <v>480000</v>
      </c>
      <c r="K7" s="726">
        <f>$B6+1</f>
        <v>1800001</v>
      </c>
      <c r="L7" s="724">
        <v>3600000</v>
      </c>
      <c r="N7" s="714">
        <v>3300001</v>
      </c>
      <c r="O7" s="715">
        <v>0.2</v>
      </c>
      <c r="P7" s="714">
        <v>3300001</v>
      </c>
      <c r="Q7" s="716">
        <v>427500</v>
      </c>
    </row>
    <row r="8" spans="2:17" ht="21.95" customHeight="1" x14ac:dyDescent="0.15">
      <c r="B8" s="717">
        <v>6600000</v>
      </c>
      <c r="C8" s="718" t="s">
        <v>55</v>
      </c>
      <c r="D8" s="719" t="s">
        <v>58</v>
      </c>
      <c r="E8" s="725">
        <v>0.2</v>
      </c>
      <c r="F8" s="721" t="s">
        <v>46</v>
      </c>
      <c r="G8" s="720">
        <v>440000</v>
      </c>
      <c r="H8" s="721" t="s">
        <v>62</v>
      </c>
      <c r="I8" s="722">
        <v>480000</v>
      </c>
      <c r="K8" s="726">
        <f>$B7+1</f>
        <v>3600001</v>
      </c>
      <c r="L8" s="724">
        <v>6600000</v>
      </c>
      <c r="N8" s="714">
        <v>6950001</v>
      </c>
      <c r="O8" s="715">
        <v>0.23</v>
      </c>
      <c r="P8" s="714">
        <v>6950001</v>
      </c>
      <c r="Q8" s="716">
        <v>636000</v>
      </c>
    </row>
    <row r="9" spans="2:17" ht="21.95" customHeight="1" x14ac:dyDescent="0.15">
      <c r="B9" s="717">
        <v>8500000</v>
      </c>
      <c r="C9" s="718" t="s">
        <v>55</v>
      </c>
      <c r="D9" s="719" t="s">
        <v>58</v>
      </c>
      <c r="E9" s="727">
        <v>0.1</v>
      </c>
      <c r="F9" s="721" t="s">
        <v>46</v>
      </c>
      <c r="G9" s="720">
        <v>1100000</v>
      </c>
      <c r="H9" s="721" t="s">
        <v>62</v>
      </c>
      <c r="I9" s="722">
        <v>480000</v>
      </c>
      <c r="K9" s="726">
        <f>$B8+1</f>
        <v>6600001</v>
      </c>
      <c r="L9" s="724">
        <v>8500000</v>
      </c>
      <c r="N9" s="714">
        <v>9000001</v>
      </c>
      <c r="O9" s="715">
        <v>0.33</v>
      </c>
      <c r="P9" s="714">
        <v>9000001</v>
      </c>
      <c r="Q9" s="716">
        <v>1536000</v>
      </c>
    </row>
    <row r="10" spans="2:17" ht="21.95" customHeight="1" thickBot="1" x14ac:dyDescent="0.2">
      <c r="B10" s="717">
        <v>8500001</v>
      </c>
      <c r="C10" s="718" t="s">
        <v>45</v>
      </c>
      <c r="D10" s="728"/>
      <c r="E10" s="727" t="s">
        <v>56</v>
      </c>
      <c r="F10" s="729"/>
      <c r="G10" s="725">
        <v>1950000</v>
      </c>
      <c r="H10" s="721" t="s">
        <v>62</v>
      </c>
      <c r="I10" s="722">
        <v>480000</v>
      </c>
      <c r="J10" s="730" t="s">
        <v>59</v>
      </c>
      <c r="K10" s="731">
        <f>$B9+1</f>
        <v>8500001</v>
      </c>
      <c r="L10" s="732">
        <v>8500001</v>
      </c>
      <c r="N10" s="714">
        <v>18000001</v>
      </c>
      <c r="O10" s="715">
        <v>0.4</v>
      </c>
      <c r="P10" s="714">
        <v>18000001</v>
      </c>
      <c r="Q10" s="716">
        <v>2796000</v>
      </c>
    </row>
    <row r="11" spans="2:17" ht="21.95" customHeight="1" thickBot="1" x14ac:dyDescent="0.2">
      <c r="B11" s="733"/>
      <c r="C11" s="217"/>
      <c r="E11" s="734" t="s">
        <v>60</v>
      </c>
      <c r="N11" s="735">
        <v>40000001</v>
      </c>
      <c r="O11" s="736">
        <v>0.45</v>
      </c>
      <c r="P11" s="735">
        <v>40000001</v>
      </c>
      <c r="Q11" s="737">
        <v>4796000</v>
      </c>
    </row>
    <row r="12" spans="2:17" ht="7.5" customHeight="1" x14ac:dyDescent="0.15">
      <c r="B12" s="738"/>
    </row>
    <row r="13" spans="2:17" ht="7.5" customHeight="1" x14ac:dyDescent="0.15">
      <c r="B13" s="738"/>
    </row>
    <row r="14" spans="2:17" ht="21.95" customHeight="1" x14ac:dyDescent="0.15">
      <c r="B14" s="894" t="s">
        <v>300</v>
      </c>
      <c r="C14" s="894"/>
      <c r="D14" s="895">
        <v>2.1000000000000001E-2</v>
      </c>
      <c r="E14" s="895"/>
    </row>
    <row r="15" spans="2:17" ht="21.95" customHeight="1" x14ac:dyDescent="0.15"/>
    <row r="16" spans="2:17" ht="21.95" customHeight="1" x14ac:dyDescent="0.15">
      <c r="B16" s="739" t="s">
        <v>296</v>
      </c>
      <c r="C16" s="891" t="s">
        <v>298</v>
      </c>
      <c r="D16" s="892"/>
      <c r="E16" s="892"/>
      <c r="F16" s="892"/>
      <c r="G16" s="892"/>
      <c r="H16" s="893"/>
      <c r="I16" s="740">
        <v>480000</v>
      </c>
    </row>
    <row r="17" spans="2:9" ht="21.95" customHeight="1" x14ac:dyDescent="0.15">
      <c r="B17" s="739" t="s">
        <v>297</v>
      </c>
      <c r="C17" s="891" t="s">
        <v>299</v>
      </c>
      <c r="D17" s="892"/>
      <c r="E17" s="892"/>
      <c r="F17" s="892"/>
      <c r="G17" s="892"/>
      <c r="H17" s="893"/>
      <c r="I17" s="740">
        <v>430000</v>
      </c>
    </row>
    <row r="18" spans="2:9" ht="21.95" customHeight="1" x14ac:dyDescent="0.15"/>
    <row r="19" spans="2:9" ht="21.95" customHeight="1" thickBot="1" x14ac:dyDescent="0.2"/>
    <row r="20" spans="2:9" ht="21.95" customHeight="1" thickBot="1" x14ac:dyDescent="0.2">
      <c r="B20" s="906" t="s">
        <v>306</v>
      </c>
      <c r="C20" s="907"/>
      <c r="D20" s="907"/>
      <c r="E20" s="907"/>
      <c r="F20" s="907"/>
      <c r="G20" s="908"/>
    </row>
    <row r="21" spans="2:9" ht="21" customHeight="1" thickBot="1" x14ac:dyDescent="0.2">
      <c r="B21" s="911" t="s">
        <v>301</v>
      </c>
      <c r="C21" s="911"/>
      <c r="D21" s="911"/>
      <c r="E21" s="911"/>
      <c r="F21" s="911"/>
      <c r="G21" s="741" t="s">
        <v>303</v>
      </c>
    </row>
    <row r="22" spans="2:9" ht="63" customHeight="1" x14ac:dyDescent="0.15">
      <c r="B22" s="909" t="s">
        <v>304</v>
      </c>
      <c r="C22" s="909"/>
      <c r="D22" s="909"/>
      <c r="E22" s="909"/>
      <c r="F22" s="910"/>
      <c r="G22" s="903">
        <v>2000000</v>
      </c>
    </row>
    <row r="23" spans="2:9" ht="21" customHeight="1" x14ac:dyDescent="0.15">
      <c r="B23" s="894" t="s">
        <v>302</v>
      </c>
      <c r="C23" s="894"/>
      <c r="D23" s="894"/>
      <c r="E23" s="894"/>
      <c r="F23" s="891"/>
      <c r="G23" s="904"/>
    </row>
    <row r="24" spans="2:9" ht="64.5" customHeight="1" thickBot="1" x14ac:dyDescent="0.2">
      <c r="B24" s="909" t="s">
        <v>305</v>
      </c>
      <c r="C24" s="909"/>
      <c r="D24" s="909"/>
      <c r="E24" s="909"/>
      <c r="F24" s="910"/>
      <c r="G24" s="905"/>
    </row>
    <row r="25" spans="2:9" ht="21" customHeight="1" x14ac:dyDescent="0.15"/>
    <row r="26" spans="2:9" ht="21" customHeight="1" x14ac:dyDescent="0.15"/>
    <row r="27" spans="2:9" ht="21" customHeight="1" x14ac:dyDescent="0.15"/>
    <row r="28" spans="2:9" ht="21" customHeight="1" x14ac:dyDescent="0.15"/>
    <row r="29" spans="2:9" ht="21" customHeight="1" x14ac:dyDescent="0.15"/>
    <row r="59" spans="12:12" ht="15" x14ac:dyDescent="0.15">
      <c r="L59" s="742"/>
    </row>
  </sheetData>
  <sheetProtection sheet="1" objects="1" scenarios="1"/>
  <mergeCells count="16">
    <mergeCell ref="G22:G24"/>
    <mergeCell ref="B20:G20"/>
    <mergeCell ref="B24:F24"/>
    <mergeCell ref="B23:F23"/>
    <mergeCell ref="B22:F22"/>
    <mergeCell ref="B21:F21"/>
    <mergeCell ref="C17:H17"/>
    <mergeCell ref="C16:H16"/>
    <mergeCell ref="B14:C14"/>
    <mergeCell ref="D14:E14"/>
    <mergeCell ref="P3:Q3"/>
    <mergeCell ref="B4:C4"/>
    <mergeCell ref="E4:G4"/>
    <mergeCell ref="B3:G3"/>
    <mergeCell ref="K4:L4"/>
    <mergeCell ref="N3:O3"/>
  </mergeCells>
  <phoneticPr fontId="3"/>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2489-8628-44F6-9CCB-9F424BDD35F5}">
  <sheetPr>
    <tabColor rgb="FF00FFFF"/>
  </sheetPr>
  <dimension ref="B1:S1321"/>
  <sheetViews>
    <sheetView showGridLines="0" zoomScaleNormal="100" workbookViewId="0">
      <selection activeCell="K12" sqref="K12"/>
    </sheetView>
  </sheetViews>
  <sheetFormatPr defaultRowHeight="14.25" outlineLevelCol="1" x14ac:dyDescent="0.15"/>
  <cols>
    <col min="1" max="1" width="2.375" style="42" customWidth="1"/>
    <col min="2" max="2" width="3.375" style="387" customWidth="1"/>
    <col min="3" max="3" width="13.375" style="46" customWidth="1"/>
    <col min="4" max="4" width="12.125" style="42" customWidth="1"/>
    <col min="5" max="6" width="14.875" style="42" customWidth="1"/>
    <col min="7" max="7" width="14.875" style="42" customWidth="1" outlineLevel="1"/>
    <col min="8" max="8" width="14.875" style="42" customWidth="1"/>
    <col min="9" max="13" width="13.125" style="42" customWidth="1"/>
    <col min="14" max="14" width="13.125" style="746" customWidth="1"/>
    <col min="15" max="15" width="13.125" style="746" customWidth="1" outlineLevel="1"/>
    <col min="16" max="16" width="13.125" style="42" customWidth="1" outlineLevel="1"/>
    <col min="17" max="17" width="15.875" style="42" customWidth="1"/>
    <col min="18" max="18" width="17.25" style="42" customWidth="1"/>
    <col min="19" max="19" width="13.625" style="42" customWidth="1"/>
    <col min="20" max="228" width="9" style="42"/>
    <col min="229" max="229" width="2.375" style="42" customWidth="1"/>
    <col min="230" max="230" width="2.75" style="42" customWidth="1"/>
    <col min="231" max="231" width="13.375" style="42" customWidth="1"/>
    <col min="232" max="232" width="12.125" style="42" customWidth="1"/>
    <col min="233" max="233" width="23.75" style="42" customWidth="1"/>
    <col min="234" max="234" width="6.375" style="42" customWidth="1"/>
    <col min="235" max="235" width="0" style="42" hidden="1" customWidth="1"/>
    <col min="236" max="236" width="23.75" style="42" customWidth="1"/>
    <col min="237" max="237" width="0" style="42" hidden="1" customWidth="1"/>
    <col min="238" max="238" width="23.75" style="42" customWidth="1"/>
    <col min="239" max="247" width="0" style="42" hidden="1" customWidth="1"/>
    <col min="248" max="249" width="13.5" style="42" customWidth="1"/>
    <col min="250" max="250" width="13.625" style="42" customWidth="1"/>
    <col min="251" max="251" width="0" style="42" hidden="1" customWidth="1"/>
    <col min="252" max="252" width="13.5" style="42" customWidth="1"/>
    <col min="253" max="253" width="13.375" style="42" customWidth="1"/>
    <col min="254" max="254" width="14.375" style="42" customWidth="1"/>
    <col min="255" max="255" width="0" style="42" hidden="1" customWidth="1"/>
    <col min="256" max="256" width="13.5" style="42" customWidth="1"/>
    <col min="257" max="257" width="13.375" style="42" customWidth="1"/>
    <col min="258" max="258" width="14.875" style="42" customWidth="1"/>
    <col min="259" max="259" width="4.75" style="42" customWidth="1"/>
    <col min="260" max="260" width="6.125" style="42" customWidth="1"/>
    <col min="261" max="261" width="12.875" style="42" customWidth="1"/>
    <col min="262" max="262" width="8.5" style="42" customWidth="1"/>
    <col min="263" max="263" width="8.375" style="42" customWidth="1"/>
    <col min="264" max="264" width="9.125" style="42" customWidth="1"/>
    <col min="265" max="484" width="9" style="42"/>
    <col min="485" max="485" width="2.375" style="42" customWidth="1"/>
    <col min="486" max="486" width="2.75" style="42" customWidth="1"/>
    <col min="487" max="487" width="13.375" style="42" customWidth="1"/>
    <col min="488" max="488" width="12.125" style="42" customWidth="1"/>
    <col min="489" max="489" width="23.75" style="42" customWidth="1"/>
    <col min="490" max="490" width="6.375" style="42" customWidth="1"/>
    <col min="491" max="491" width="0" style="42" hidden="1" customWidth="1"/>
    <col min="492" max="492" width="23.75" style="42" customWidth="1"/>
    <col min="493" max="493" width="0" style="42" hidden="1" customWidth="1"/>
    <col min="494" max="494" width="23.75" style="42" customWidth="1"/>
    <col min="495" max="503" width="0" style="42" hidden="1" customWidth="1"/>
    <col min="504" max="505" width="13.5" style="42" customWidth="1"/>
    <col min="506" max="506" width="13.625" style="42" customWidth="1"/>
    <col min="507" max="507" width="0" style="42" hidden="1" customWidth="1"/>
    <col min="508" max="508" width="13.5" style="42" customWidth="1"/>
    <col min="509" max="509" width="13.375" style="42" customWidth="1"/>
    <col min="510" max="510" width="14.375" style="42" customWidth="1"/>
    <col min="511" max="511" width="0" style="42" hidden="1" customWidth="1"/>
    <col min="512" max="512" width="13.5" style="42" customWidth="1"/>
    <col min="513" max="513" width="13.375" style="42" customWidth="1"/>
    <col min="514" max="514" width="14.875" style="42" customWidth="1"/>
    <col min="515" max="515" width="4.75" style="42" customWidth="1"/>
    <col min="516" max="516" width="6.125" style="42" customWidth="1"/>
    <col min="517" max="517" width="12.875" style="42" customWidth="1"/>
    <col min="518" max="518" width="8.5" style="42" customWidth="1"/>
    <col min="519" max="519" width="8.375" style="42" customWidth="1"/>
    <col min="520" max="520" width="9.125" style="42" customWidth="1"/>
    <col min="521" max="740" width="9" style="42"/>
    <col min="741" max="741" width="2.375" style="42" customWidth="1"/>
    <col min="742" max="742" width="2.75" style="42" customWidth="1"/>
    <col min="743" max="743" width="13.375" style="42" customWidth="1"/>
    <col min="744" max="744" width="12.125" style="42" customWidth="1"/>
    <col min="745" max="745" width="23.75" style="42" customWidth="1"/>
    <col min="746" max="746" width="6.375" style="42" customWidth="1"/>
    <col min="747" max="747" width="0" style="42" hidden="1" customWidth="1"/>
    <col min="748" max="748" width="23.75" style="42" customWidth="1"/>
    <col min="749" max="749" width="0" style="42" hidden="1" customWidth="1"/>
    <col min="750" max="750" width="23.75" style="42" customWidth="1"/>
    <col min="751" max="759" width="0" style="42" hidden="1" customWidth="1"/>
    <col min="760" max="761" width="13.5" style="42" customWidth="1"/>
    <col min="762" max="762" width="13.625" style="42" customWidth="1"/>
    <col min="763" max="763" width="0" style="42" hidden="1" customWidth="1"/>
    <col min="764" max="764" width="13.5" style="42" customWidth="1"/>
    <col min="765" max="765" width="13.375" style="42" customWidth="1"/>
    <col min="766" max="766" width="14.375" style="42" customWidth="1"/>
    <col min="767" max="767" width="0" style="42" hidden="1" customWidth="1"/>
    <col min="768" max="768" width="13.5" style="42" customWidth="1"/>
    <col min="769" max="769" width="13.375" style="42" customWidth="1"/>
    <col min="770" max="770" width="14.875" style="42" customWidth="1"/>
    <col min="771" max="771" width="4.75" style="42" customWidth="1"/>
    <col min="772" max="772" width="6.125" style="42" customWidth="1"/>
    <col min="773" max="773" width="12.875" style="42" customWidth="1"/>
    <col min="774" max="774" width="8.5" style="42" customWidth="1"/>
    <col min="775" max="775" width="8.375" style="42" customWidth="1"/>
    <col min="776" max="776" width="9.125" style="42" customWidth="1"/>
    <col min="777" max="996" width="9" style="42"/>
    <col min="997" max="997" width="2.375" style="42" customWidth="1"/>
    <col min="998" max="998" width="2.75" style="42" customWidth="1"/>
    <col min="999" max="999" width="13.375" style="42" customWidth="1"/>
    <col min="1000" max="1000" width="12.125" style="42" customWidth="1"/>
    <col min="1001" max="1001" width="23.75" style="42" customWidth="1"/>
    <col min="1002" max="1002" width="6.375" style="42" customWidth="1"/>
    <col min="1003" max="1003" width="0" style="42" hidden="1" customWidth="1"/>
    <col min="1004" max="1004" width="23.75" style="42" customWidth="1"/>
    <col min="1005" max="1005" width="0" style="42" hidden="1" customWidth="1"/>
    <col min="1006" max="1006" width="23.75" style="42" customWidth="1"/>
    <col min="1007" max="1015" width="0" style="42" hidden="1" customWidth="1"/>
    <col min="1016" max="1017" width="13.5" style="42" customWidth="1"/>
    <col min="1018" max="1018" width="13.625" style="42" customWidth="1"/>
    <col min="1019" max="1019" width="0" style="42" hidden="1" customWidth="1"/>
    <col min="1020" max="1020" width="13.5" style="42" customWidth="1"/>
    <col min="1021" max="1021" width="13.375" style="42" customWidth="1"/>
    <col min="1022" max="1022" width="14.375" style="42" customWidth="1"/>
    <col min="1023" max="1023" width="0" style="42" hidden="1" customWidth="1"/>
    <col min="1024" max="1024" width="13.5" style="42" customWidth="1"/>
    <col min="1025" max="1025" width="13.375" style="42" customWidth="1"/>
    <col min="1026" max="1026" width="14.875" style="42" customWidth="1"/>
    <col min="1027" max="1027" width="4.75" style="42" customWidth="1"/>
    <col min="1028" max="1028" width="6.125" style="42" customWidth="1"/>
    <col min="1029" max="1029" width="12.875" style="42" customWidth="1"/>
    <col min="1030" max="1030" width="8.5" style="42" customWidth="1"/>
    <col min="1031" max="1031" width="8.375" style="42" customWidth="1"/>
    <col min="1032" max="1032" width="9.125" style="42" customWidth="1"/>
    <col min="1033" max="1252" width="9" style="42"/>
    <col min="1253" max="1253" width="2.375" style="42" customWidth="1"/>
    <col min="1254" max="1254" width="2.75" style="42" customWidth="1"/>
    <col min="1255" max="1255" width="13.375" style="42" customWidth="1"/>
    <col min="1256" max="1256" width="12.125" style="42" customWidth="1"/>
    <col min="1257" max="1257" width="23.75" style="42" customWidth="1"/>
    <col min="1258" max="1258" width="6.375" style="42" customWidth="1"/>
    <col min="1259" max="1259" width="0" style="42" hidden="1" customWidth="1"/>
    <col min="1260" max="1260" width="23.75" style="42" customWidth="1"/>
    <col min="1261" max="1261" width="0" style="42" hidden="1" customWidth="1"/>
    <col min="1262" max="1262" width="23.75" style="42" customWidth="1"/>
    <col min="1263" max="1271" width="0" style="42" hidden="1" customWidth="1"/>
    <col min="1272" max="1273" width="13.5" style="42" customWidth="1"/>
    <col min="1274" max="1274" width="13.625" style="42" customWidth="1"/>
    <col min="1275" max="1275" width="0" style="42" hidden="1" customWidth="1"/>
    <col min="1276" max="1276" width="13.5" style="42" customWidth="1"/>
    <col min="1277" max="1277" width="13.375" style="42" customWidth="1"/>
    <col min="1278" max="1278" width="14.375" style="42" customWidth="1"/>
    <col min="1279" max="1279" width="0" style="42" hidden="1" customWidth="1"/>
    <col min="1280" max="1280" width="13.5" style="42" customWidth="1"/>
    <col min="1281" max="1281" width="13.375" style="42" customWidth="1"/>
    <col min="1282" max="1282" width="14.875" style="42" customWidth="1"/>
    <col min="1283" max="1283" width="4.75" style="42" customWidth="1"/>
    <col min="1284" max="1284" width="6.125" style="42" customWidth="1"/>
    <col min="1285" max="1285" width="12.875" style="42" customWidth="1"/>
    <col min="1286" max="1286" width="8.5" style="42" customWidth="1"/>
    <col min="1287" max="1287" width="8.375" style="42" customWidth="1"/>
    <col min="1288" max="1288" width="9.125" style="42" customWidth="1"/>
    <col min="1289" max="1508" width="9" style="42"/>
    <col min="1509" max="1509" width="2.375" style="42" customWidth="1"/>
    <col min="1510" max="1510" width="2.75" style="42" customWidth="1"/>
    <col min="1511" max="1511" width="13.375" style="42" customWidth="1"/>
    <col min="1512" max="1512" width="12.125" style="42" customWidth="1"/>
    <col min="1513" max="1513" width="23.75" style="42" customWidth="1"/>
    <col min="1514" max="1514" width="6.375" style="42" customWidth="1"/>
    <col min="1515" max="1515" width="0" style="42" hidden="1" customWidth="1"/>
    <col min="1516" max="1516" width="23.75" style="42" customWidth="1"/>
    <col min="1517" max="1517" width="0" style="42" hidden="1" customWidth="1"/>
    <col min="1518" max="1518" width="23.75" style="42" customWidth="1"/>
    <col min="1519" max="1527" width="0" style="42" hidden="1" customWidth="1"/>
    <col min="1528" max="1529" width="13.5" style="42" customWidth="1"/>
    <col min="1530" max="1530" width="13.625" style="42" customWidth="1"/>
    <col min="1531" max="1531" width="0" style="42" hidden="1" customWidth="1"/>
    <col min="1532" max="1532" width="13.5" style="42" customWidth="1"/>
    <col min="1533" max="1533" width="13.375" style="42" customWidth="1"/>
    <col min="1534" max="1534" width="14.375" style="42" customWidth="1"/>
    <col min="1535" max="1535" width="0" style="42" hidden="1" customWidth="1"/>
    <col min="1536" max="1536" width="13.5" style="42" customWidth="1"/>
    <col min="1537" max="1537" width="13.375" style="42" customWidth="1"/>
    <col min="1538" max="1538" width="14.875" style="42" customWidth="1"/>
    <col min="1539" max="1539" width="4.75" style="42" customWidth="1"/>
    <col min="1540" max="1540" width="6.125" style="42" customWidth="1"/>
    <col min="1541" max="1541" width="12.875" style="42" customWidth="1"/>
    <col min="1542" max="1542" width="8.5" style="42" customWidth="1"/>
    <col min="1543" max="1543" width="8.375" style="42" customWidth="1"/>
    <col min="1544" max="1544" width="9.125" style="42" customWidth="1"/>
    <col min="1545" max="1764" width="9" style="42"/>
    <col min="1765" max="1765" width="2.375" style="42" customWidth="1"/>
    <col min="1766" max="1766" width="2.75" style="42" customWidth="1"/>
    <col min="1767" max="1767" width="13.375" style="42" customWidth="1"/>
    <col min="1768" max="1768" width="12.125" style="42" customWidth="1"/>
    <col min="1769" max="1769" width="23.75" style="42" customWidth="1"/>
    <col min="1770" max="1770" width="6.375" style="42" customWidth="1"/>
    <col min="1771" max="1771" width="0" style="42" hidden="1" customWidth="1"/>
    <col min="1772" max="1772" width="23.75" style="42" customWidth="1"/>
    <col min="1773" max="1773" width="0" style="42" hidden="1" customWidth="1"/>
    <col min="1774" max="1774" width="23.75" style="42" customWidth="1"/>
    <col min="1775" max="1783" width="0" style="42" hidden="1" customWidth="1"/>
    <col min="1784" max="1785" width="13.5" style="42" customWidth="1"/>
    <col min="1786" max="1786" width="13.625" style="42" customWidth="1"/>
    <col min="1787" max="1787" width="0" style="42" hidden="1" customWidth="1"/>
    <col min="1788" max="1788" width="13.5" style="42" customWidth="1"/>
    <col min="1789" max="1789" width="13.375" style="42" customWidth="1"/>
    <col min="1790" max="1790" width="14.375" style="42" customWidth="1"/>
    <col min="1791" max="1791" width="0" style="42" hidden="1" customWidth="1"/>
    <col min="1792" max="1792" width="13.5" style="42" customWidth="1"/>
    <col min="1793" max="1793" width="13.375" style="42" customWidth="1"/>
    <col min="1794" max="1794" width="14.875" style="42" customWidth="1"/>
    <col min="1795" max="1795" width="4.75" style="42" customWidth="1"/>
    <col min="1796" max="1796" width="6.125" style="42" customWidth="1"/>
    <col min="1797" max="1797" width="12.875" style="42" customWidth="1"/>
    <col min="1798" max="1798" width="8.5" style="42" customWidth="1"/>
    <col min="1799" max="1799" width="8.375" style="42" customWidth="1"/>
    <col min="1800" max="1800" width="9.125" style="42" customWidth="1"/>
    <col min="1801" max="2020" width="9" style="42"/>
    <col min="2021" max="2021" width="2.375" style="42" customWidth="1"/>
    <col min="2022" max="2022" width="2.75" style="42" customWidth="1"/>
    <col min="2023" max="2023" width="13.375" style="42" customWidth="1"/>
    <col min="2024" max="2024" width="12.125" style="42" customWidth="1"/>
    <col min="2025" max="2025" width="23.75" style="42" customWidth="1"/>
    <col min="2026" max="2026" width="6.375" style="42" customWidth="1"/>
    <col min="2027" max="2027" width="0" style="42" hidden="1" customWidth="1"/>
    <col min="2028" max="2028" width="23.75" style="42" customWidth="1"/>
    <col min="2029" max="2029" width="0" style="42" hidden="1" customWidth="1"/>
    <col min="2030" max="2030" width="23.75" style="42" customWidth="1"/>
    <col min="2031" max="2039" width="0" style="42" hidden="1" customWidth="1"/>
    <col min="2040" max="2041" width="13.5" style="42" customWidth="1"/>
    <col min="2042" max="2042" width="13.625" style="42" customWidth="1"/>
    <col min="2043" max="2043" width="0" style="42" hidden="1" customWidth="1"/>
    <col min="2044" max="2044" width="13.5" style="42" customWidth="1"/>
    <col min="2045" max="2045" width="13.375" style="42" customWidth="1"/>
    <col min="2046" max="2046" width="14.375" style="42" customWidth="1"/>
    <col min="2047" max="2047" width="0" style="42" hidden="1" customWidth="1"/>
    <col min="2048" max="2048" width="13.5" style="42" customWidth="1"/>
    <col min="2049" max="2049" width="13.375" style="42" customWidth="1"/>
    <col min="2050" max="2050" width="14.875" style="42" customWidth="1"/>
    <col min="2051" max="2051" width="4.75" style="42" customWidth="1"/>
    <col min="2052" max="2052" width="6.125" style="42" customWidth="1"/>
    <col min="2053" max="2053" width="12.875" style="42" customWidth="1"/>
    <col min="2054" max="2054" width="8.5" style="42" customWidth="1"/>
    <col min="2055" max="2055" width="8.375" style="42" customWidth="1"/>
    <col min="2056" max="2056" width="9.125" style="42" customWidth="1"/>
    <col min="2057" max="2276" width="9" style="42"/>
    <col min="2277" max="2277" width="2.375" style="42" customWidth="1"/>
    <col min="2278" max="2278" width="2.75" style="42" customWidth="1"/>
    <col min="2279" max="2279" width="13.375" style="42" customWidth="1"/>
    <col min="2280" max="2280" width="12.125" style="42" customWidth="1"/>
    <col min="2281" max="2281" width="23.75" style="42" customWidth="1"/>
    <col min="2282" max="2282" width="6.375" style="42" customWidth="1"/>
    <col min="2283" max="2283" width="0" style="42" hidden="1" customWidth="1"/>
    <col min="2284" max="2284" width="23.75" style="42" customWidth="1"/>
    <col min="2285" max="2285" width="0" style="42" hidden="1" customWidth="1"/>
    <col min="2286" max="2286" width="23.75" style="42" customWidth="1"/>
    <col min="2287" max="2295" width="0" style="42" hidden="1" customWidth="1"/>
    <col min="2296" max="2297" width="13.5" style="42" customWidth="1"/>
    <col min="2298" max="2298" width="13.625" style="42" customWidth="1"/>
    <col min="2299" max="2299" width="0" style="42" hidden="1" customWidth="1"/>
    <col min="2300" max="2300" width="13.5" style="42" customWidth="1"/>
    <col min="2301" max="2301" width="13.375" style="42" customWidth="1"/>
    <col min="2302" max="2302" width="14.375" style="42" customWidth="1"/>
    <col min="2303" max="2303" width="0" style="42" hidden="1" customWidth="1"/>
    <col min="2304" max="2304" width="13.5" style="42" customWidth="1"/>
    <col min="2305" max="2305" width="13.375" style="42" customWidth="1"/>
    <col min="2306" max="2306" width="14.875" style="42" customWidth="1"/>
    <col min="2307" max="2307" width="4.75" style="42" customWidth="1"/>
    <col min="2308" max="2308" width="6.125" style="42" customWidth="1"/>
    <col min="2309" max="2309" width="12.875" style="42" customWidth="1"/>
    <col min="2310" max="2310" width="8.5" style="42" customWidth="1"/>
    <col min="2311" max="2311" width="8.375" style="42" customWidth="1"/>
    <col min="2312" max="2312" width="9.125" style="42" customWidth="1"/>
    <col min="2313" max="2532" width="9" style="42"/>
    <col min="2533" max="2533" width="2.375" style="42" customWidth="1"/>
    <col min="2534" max="2534" width="2.75" style="42" customWidth="1"/>
    <col min="2535" max="2535" width="13.375" style="42" customWidth="1"/>
    <col min="2536" max="2536" width="12.125" style="42" customWidth="1"/>
    <col min="2537" max="2537" width="23.75" style="42" customWidth="1"/>
    <col min="2538" max="2538" width="6.375" style="42" customWidth="1"/>
    <col min="2539" max="2539" width="0" style="42" hidden="1" customWidth="1"/>
    <col min="2540" max="2540" width="23.75" style="42" customWidth="1"/>
    <col min="2541" max="2541" width="0" style="42" hidden="1" customWidth="1"/>
    <col min="2542" max="2542" width="23.75" style="42" customWidth="1"/>
    <col min="2543" max="2551" width="0" style="42" hidden="1" customWidth="1"/>
    <col min="2552" max="2553" width="13.5" style="42" customWidth="1"/>
    <col min="2554" max="2554" width="13.625" style="42" customWidth="1"/>
    <col min="2555" max="2555" width="0" style="42" hidden="1" customWidth="1"/>
    <col min="2556" max="2556" width="13.5" style="42" customWidth="1"/>
    <col min="2557" max="2557" width="13.375" style="42" customWidth="1"/>
    <col min="2558" max="2558" width="14.375" style="42" customWidth="1"/>
    <col min="2559" max="2559" width="0" style="42" hidden="1" customWidth="1"/>
    <col min="2560" max="2560" width="13.5" style="42" customWidth="1"/>
    <col min="2561" max="2561" width="13.375" style="42" customWidth="1"/>
    <col min="2562" max="2562" width="14.875" style="42" customWidth="1"/>
    <col min="2563" max="2563" width="4.75" style="42" customWidth="1"/>
    <col min="2564" max="2564" width="6.125" style="42" customWidth="1"/>
    <col min="2565" max="2565" width="12.875" style="42" customWidth="1"/>
    <col min="2566" max="2566" width="8.5" style="42" customWidth="1"/>
    <col min="2567" max="2567" width="8.375" style="42" customWidth="1"/>
    <col min="2568" max="2568" width="9.125" style="42" customWidth="1"/>
    <col min="2569" max="2788" width="9" style="42"/>
    <col min="2789" max="2789" width="2.375" style="42" customWidth="1"/>
    <col min="2790" max="2790" width="2.75" style="42" customWidth="1"/>
    <col min="2791" max="2791" width="13.375" style="42" customWidth="1"/>
    <col min="2792" max="2792" width="12.125" style="42" customWidth="1"/>
    <col min="2793" max="2793" width="23.75" style="42" customWidth="1"/>
    <col min="2794" max="2794" width="6.375" style="42" customWidth="1"/>
    <col min="2795" max="2795" width="0" style="42" hidden="1" customWidth="1"/>
    <col min="2796" max="2796" width="23.75" style="42" customWidth="1"/>
    <col min="2797" max="2797" width="0" style="42" hidden="1" customWidth="1"/>
    <col min="2798" max="2798" width="23.75" style="42" customWidth="1"/>
    <col min="2799" max="2807" width="0" style="42" hidden="1" customWidth="1"/>
    <col min="2808" max="2809" width="13.5" style="42" customWidth="1"/>
    <col min="2810" max="2810" width="13.625" style="42" customWidth="1"/>
    <col min="2811" max="2811" width="0" style="42" hidden="1" customWidth="1"/>
    <col min="2812" max="2812" width="13.5" style="42" customWidth="1"/>
    <col min="2813" max="2813" width="13.375" style="42" customWidth="1"/>
    <col min="2814" max="2814" width="14.375" style="42" customWidth="1"/>
    <col min="2815" max="2815" width="0" style="42" hidden="1" customWidth="1"/>
    <col min="2816" max="2816" width="13.5" style="42" customWidth="1"/>
    <col min="2817" max="2817" width="13.375" style="42" customWidth="1"/>
    <col min="2818" max="2818" width="14.875" style="42" customWidth="1"/>
    <col min="2819" max="2819" width="4.75" style="42" customWidth="1"/>
    <col min="2820" max="2820" width="6.125" style="42" customWidth="1"/>
    <col min="2821" max="2821" width="12.875" style="42" customWidth="1"/>
    <col min="2822" max="2822" width="8.5" style="42" customWidth="1"/>
    <col min="2823" max="2823" width="8.375" style="42" customWidth="1"/>
    <col min="2824" max="2824" width="9.125" style="42" customWidth="1"/>
    <col min="2825" max="3044" width="9" style="42"/>
    <col min="3045" max="3045" width="2.375" style="42" customWidth="1"/>
    <col min="3046" max="3046" width="2.75" style="42" customWidth="1"/>
    <col min="3047" max="3047" width="13.375" style="42" customWidth="1"/>
    <col min="3048" max="3048" width="12.125" style="42" customWidth="1"/>
    <col min="3049" max="3049" width="23.75" style="42" customWidth="1"/>
    <col min="3050" max="3050" width="6.375" style="42" customWidth="1"/>
    <col min="3051" max="3051" width="0" style="42" hidden="1" customWidth="1"/>
    <col min="3052" max="3052" width="23.75" style="42" customWidth="1"/>
    <col min="3053" max="3053" width="0" style="42" hidden="1" customWidth="1"/>
    <col min="3054" max="3054" width="23.75" style="42" customWidth="1"/>
    <col min="3055" max="3063" width="0" style="42" hidden="1" customWidth="1"/>
    <col min="3064" max="3065" width="13.5" style="42" customWidth="1"/>
    <col min="3066" max="3066" width="13.625" style="42" customWidth="1"/>
    <col min="3067" max="3067" width="0" style="42" hidden="1" customWidth="1"/>
    <col min="3068" max="3068" width="13.5" style="42" customWidth="1"/>
    <col min="3069" max="3069" width="13.375" style="42" customWidth="1"/>
    <col min="3070" max="3070" width="14.375" style="42" customWidth="1"/>
    <col min="3071" max="3071" width="0" style="42" hidden="1" customWidth="1"/>
    <col min="3072" max="3072" width="13.5" style="42" customWidth="1"/>
    <col min="3073" max="3073" width="13.375" style="42" customWidth="1"/>
    <col min="3074" max="3074" width="14.875" style="42" customWidth="1"/>
    <col min="3075" max="3075" width="4.75" style="42" customWidth="1"/>
    <col min="3076" max="3076" width="6.125" style="42" customWidth="1"/>
    <col min="3077" max="3077" width="12.875" style="42" customWidth="1"/>
    <col min="3078" max="3078" width="8.5" style="42" customWidth="1"/>
    <col min="3079" max="3079" width="8.375" style="42" customWidth="1"/>
    <col min="3080" max="3080" width="9.125" style="42" customWidth="1"/>
    <col min="3081" max="3300" width="9" style="42"/>
    <col min="3301" max="3301" width="2.375" style="42" customWidth="1"/>
    <col min="3302" max="3302" width="2.75" style="42" customWidth="1"/>
    <col min="3303" max="3303" width="13.375" style="42" customWidth="1"/>
    <col min="3304" max="3304" width="12.125" style="42" customWidth="1"/>
    <col min="3305" max="3305" width="23.75" style="42" customWidth="1"/>
    <col min="3306" max="3306" width="6.375" style="42" customWidth="1"/>
    <col min="3307" max="3307" width="0" style="42" hidden="1" customWidth="1"/>
    <col min="3308" max="3308" width="23.75" style="42" customWidth="1"/>
    <col min="3309" max="3309" width="0" style="42" hidden="1" customWidth="1"/>
    <col min="3310" max="3310" width="23.75" style="42" customWidth="1"/>
    <col min="3311" max="3319" width="0" style="42" hidden="1" customWidth="1"/>
    <col min="3320" max="3321" width="13.5" style="42" customWidth="1"/>
    <col min="3322" max="3322" width="13.625" style="42" customWidth="1"/>
    <col min="3323" max="3323" width="0" style="42" hidden="1" customWidth="1"/>
    <col min="3324" max="3324" width="13.5" style="42" customWidth="1"/>
    <col min="3325" max="3325" width="13.375" style="42" customWidth="1"/>
    <col min="3326" max="3326" width="14.375" style="42" customWidth="1"/>
    <col min="3327" max="3327" width="0" style="42" hidden="1" customWidth="1"/>
    <col min="3328" max="3328" width="13.5" style="42" customWidth="1"/>
    <col min="3329" max="3329" width="13.375" style="42" customWidth="1"/>
    <col min="3330" max="3330" width="14.875" style="42" customWidth="1"/>
    <col min="3331" max="3331" width="4.75" style="42" customWidth="1"/>
    <col min="3332" max="3332" width="6.125" style="42" customWidth="1"/>
    <col min="3333" max="3333" width="12.875" style="42" customWidth="1"/>
    <col min="3334" max="3334" width="8.5" style="42" customWidth="1"/>
    <col min="3335" max="3335" width="8.375" style="42" customWidth="1"/>
    <col min="3336" max="3336" width="9.125" style="42" customWidth="1"/>
    <col min="3337" max="3556" width="9" style="42"/>
    <col min="3557" max="3557" width="2.375" style="42" customWidth="1"/>
    <col min="3558" max="3558" width="2.75" style="42" customWidth="1"/>
    <col min="3559" max="3559" width="13.375" style="42" customWidth="1"/>
    <col min="3560" max="3560" width="12.125" style="42" customWidth="1"/>
    <col min="3561" max="3561" width="23.75" style="42" customWidth="1"/>
    <col min="3562" max="3562" width="6.375" style="42" customWidth="1"/>
    <col min="3563" max="3563" width="0" style="42" hidden="1" customWidth="1"/>
    <col min="3564" max="3564" width="23.75" style="42" customWidth="1"/>
    <col min="3565" max="3565" width="0" style="42" hidden="1" customWidth="1"/>
    <col min="3566" max="3566" width="23.75" style="42" customWidth="1"/>
    <col min="3567" max="3575" width="0" style="42" hidden="1" customWidth="1"/>
    <col min="3576" max="3577" width="13.5" style="42" customWidth="1"/>
    <col min="3578" max="3578" width="13.625" style="42" customWidth="1"/>
    <col min="3579" max="3579" width="0" style="42" hidden="1" customWidth="1"/>
    <col min="3580" max="3580" width="13.5" style="42" customWidth="1"/>
    <col min="3581" max="3581" width="13.375" style="42" customWidth="1"/>
    <col min="3582" max="3582" width="14.375" style="42" customWidth="1"/>
    <col min="3583" max="3583" width="0" style="42" hidden="1" customWidth="1"/>
    <col min="3584" max="3584" width="13.5" style="42" customWidth="1"/>
    <col min="3585" max="3585" width="13.375" style="42" customWidth="1"/>
    <col min="3586" max="3586" width="14.875" style="42" customWidth="1"/>
    <col min="3587" max="3587" width="4.75" style="42" customWidth="1"/>
    <col min="3588" max="3588" width="6.125" style="42" customWidth="1"/>
    <col min="3589" max="3589" width="12.875" style="42" customWidth="1"/>
    <col min="3590" max="3590" width="8.5" style="42" customWidth="1"/>
    <col min="3591" max="3591" width="8.375" style="42" customWidth="1"/>
    <col min="3592" max="3592" width="9.125" style="42" customWidth="1"/>
    <col min="3593" max="3812" width="9" style="42"/>
    <col min="3813" max="3813" width="2.375" style="42" customWidth="1"/>
    <col min="3814" max="3814" width="2.75" style="42" customWidth="1"/>
    <col min="3815" max="3815" width="13.375" style="42" customWidth="1"/>
    <col min="3816" max="3816" width="12.125" style="42" customWidth="1"/>
    <col min="3817" max="3817" width="23.75" style="42" customWidth="1"/>
    <col min="3818" max="3818" width="6.375" style="42" customWidth="1"/>
    <col min="3819" max="3819" width="0" style="42" hidden="1" customWidth="1"/>
    <col min="3820" max="3820" width="23.75" style="42" customWidth="1"/>
    <col min="3821" max="3821" width="0" style="42" hidden="1" customWidth="1"/>
    <col min="3822" max="3822" width="23.75" style="42" customWidth="1"/>
    <col min="3823" max="3831" width="0" style="42" hidden="1" customWidth="1"/>
    <col min="3832" max="3833" width="13.5" style="42" customWidth="1"/>
    <col min="3834" max="3834" width="13.625" style="42" customWidth="1"/>
    <col min="3835" max="3835" width="0" style="42" hidden="1" customWidth="1"/>
    <col min="3836" max="3836" width="13.5" style="42" customWidth="1"/>
    <col min="3837" max="3837" width="13.375" style="42" customWidth="1"/>
    <col min="3838" max="3838" width="14.375" style="42" customWidth="1"/>
    <col min="3839" max="3839" width="0" style="42" hidden="1" customWidth="1"/>
    <col min="3840" max="3840" width="13.5" style="42" customWidth="1"/>
    <col min="3841" max="3841" width="13.375" style="42" customWidth="1"/>
    <col min="3842" max="3842" width="14.875" style="42" customWidth="1"/>
    <col min="3843" max="3843" width="4.75" style="42" customWidth="1"/>
    <col min="3844" max="3844" width="6.125" style="42" customWidth="1"/>
    <col min="3845" max="3845" width="12.875" style="42" customWidth="1"/>
    <col min="3846" max="3846" width="8.5" style="42" customWidth="1"/>
    <col min="3847" max="3847" width="8.375" style="42" customWidth="1"/>
    <col min="3848" max="3848" width="9.125" style="42" customWidth="1"/>
    <col min="3849" max="4068" width="9" style="42"/>
    <col min="4069" max="4069" width="2.375" style="42" customWidth="1"/>
    <col min="4070" max="4070" width="2.75" style="42" customWidth="1"/>
    <col min="4071" max="4071" width="13.375" style="42" customWidth="1"/>
    <col min="4072" max="4072" width="12.125" style="42" customWidth="1"/>
    <col min="4073" max="4073" width="23.75" style="42" customWidth="1"/>
    <col min="4074" max="4074" width="6.375" style="42" customWidth="1"/>
    <col min="4075" max="4075" width="0" style="42" hidden="1" customWidth="1"/>
    <col min="4076" max="4076" width="23.75" style="42" customWidth="1"/>
    <col min="4077" max="4077" width="0" style="42" hidden="1" customWidth="1"/>
    <col min="4078" max="4078" width="23.75" style="42" customWidth="1"/>
    <col min="4079" max="4087" width="0" style="42" hidden="1" customWidth="1"/>
    <col min="4088" max="4089" width="13.5" style="42" customWidth="1"/>
    <col min="4090" max="4090" width="13.625" style="42" customWidth="1"/>
    <col min="4091" max="4091" width="0" style="42" hidden="1" customWidth="1"/>
    <col min="4092" max="4092" width="13.5" style="42" customWidth="1"/>
    <col min="4093" max="4093" width="13.375" style="42" customWidth="1"/>
    <col min="4094" max="4094" width="14.375" style="42" customWidth="1"/>
    <col min="4095" max="4095" width="0" style="42" hidden="1" customWidth="1"/>
    <col min="4096" max="4096" width="13.5" style="42" customWidth="1"/>
    <col min="4097" max="4097" width="13.375" style="42" customWidth="1"/>
    <col min="4098" max="4098" width="14.875" style="42" customWidth="1"/>
    <col min="4099" max="4099" width="4.75" style="42" customWidth="1"/>
    <col min="4100" max="4100" width="6.125" style="42" customWidth="1"/>
    <col min="4101" max="4101" width="12.875" style="42" customWidth="1"/>
    <col min="4102" max="4102" width="8.5" style="42" customWidth="1"/>
    <col min="4103" max="4103" width="8.375" style="42" customWidth="1"/>
    <col min="4104" max="4104" width="9.125" style="42" customWidth="1"/>
    <col min="4105" max="4324" width="9" style="42"/>
    <col min="4325" max="4325" width="2.375" style="42" customWidth="1"/>
    <col min="4326" max="4326" width="2.75" style="42" customWidth="1"/>
    <col min="4327" max="4327" width="13.375" style="42" customWidth="1"/>
    <col min="4328" max="4328" width="12.125" style="42" customWidth="1"/>
    <col min="4329" max="4329" width="23.75" style="42" customWidth="1"/>
    <col min="4330" max="4330" width="6.375" style="42" customWidth="1"/>
    <col min="4331" max="4331" width="0" style="42" hidden="1" customWidth="1"/>
    <col min="4332" max="4332" width="23.75" style="42" customWidth="1"/>
    <col min="4333" max="4333" width="0" style="42" hidden="1" customWidth="1"/>
    <col min="4334" max="4334" width="23.75" style="42" customWidth="1"/>
    <col min="4335" max="4343" width="0" style="42" hidden="1" customWidth="1"/>
    <col min="4344" max="4345" width="13.5" style="42" customWidth="1"/>
    <col min="4346" max="4346" width="13.625" style="42" customWidth="1"/>
    <col min="4347" max="4347" width="0" style="42" hidden="1" customWidth="1"/>
    <col min="4348" max="4348" width="13.5" style="42" customWidth="1"/>
    <col min="4349" max="4349" width="13.375" style="42" customWidth="1"/>
    <col min="4350" max="4350" width="14.375" style="42" customWidth="1"/>
    <col min="4351" max="4351" width="0" style="42" hidden="1" customWidth="1"/>
    <col min="4352" max="4352" width="13.5" style="42" customWidth="1"/>
    <col min="4353" max="4353" width="13.375" style="42" customWidth="1"/>
    <col min="4354" max="4354" width="14.875" style="42" customWidth="1"/>
    <col min="4355" max="4355" width="4.75" style="42" customWidth="1"/>
    <col min="4356" max="4356" width="6.125" style="42" customWidth="1"/>
    <col min="4357" max="4357" width="12.875" style="42" customWidth="1"/>
    <col min="4358" max="4358" width="8.5" style="42" customWidth="1"/>
    <col min="4359" max="4359" width="8.375" style="42" customWidth="1"/>
    <col min="4360" max="4360" width="9.125" style="42" customWidth="1"/>
    <col min="4361" max="4580" width="9" style="42"/>
    <col min="4581" max="4581" width="2.375" style="42" customWidth="1"/>
    <col min="4582" max="4582" width="2.75" style="42" customWidth="1"/>
    <col min="4583" max="4583" width="13.375" style="42" customWidth="1"/>
    <col min="4584" max="4584" width="12.125" style="42" customWidth="1"/>
    <col min="4585" max="4585" width="23.75" style="42" customWidth="1"/>
    <col min="4586" max="4586" width="6.375" style="42" customWidth="1"/>
    <col min="4587" max="4587" width="0" style="42" hidden="1" customWidth="1"/>
    <col min="4588" max="4588" width="23.75" style="42" customWidth="1"/>
    <col min="4589" max="4589" width="0" style="42" hidden="1" customWidth="1"/>
    <col min="4590" max="4590" width="23.75" style="42" customWidth="1"/>
    <col min="4591" max="4599" width="0" style="42" hidden="1" customWidth="1"/>
    <col min="4600" max="4601" width="13.5" style="42" customWidth="1"/>
    <col min="4602" max="4602" width="13.625" style="42" customWidth="1"/>
    <col min="4603" max="4603" width="0" style="42" hidden="1" customWidth="1"/>
    <col min="4604" max="4604" width="13.5" style="42" customWidth="1"/>
    <col min="4605" max="4605" width="13.375" style="42" customWidth="1"/>
    <col min="4606" max="4606" width="14.375" style="42" customWidth="1"/>
    <col min="4607" max="4607" width="0" style="42" hidden="1" customWidth="1"/>
    <col min="4608" max="4608" width="13.5" style="42" customWidth="1"/>
    <col min="4609" max="4609" width="13.375" style="42" customWidth="1"/>
    <col min="4610" max="4610" width="14.875" style="42" customWidth="1"/>
    <col min="4611" max="4611" width="4.75" style="42" customWidth="1"/>
    <col min="4612" max="4612" width="6.125" style="42" customWidth="1"/>
    <col min="4613" max="4613" width="12.875" style="42" customWidth="1"/>
    <col min="4614" max="4614" width="8.5" style="42" customWidth="1"/>
    <col min="4615" max="4615" width="8.375" style="42" customWidth="1"/>
    <col min="4616" max="4616" width="9.125" style="42" customWidth="1"/>
    <col min="4617" max="4836" width="9" style="42"/>
    <col min="4837" max="4837" width="2.375" style="42" customWidth="1"/>
    <col min="4838" max="4838" width="2.75" style="42" customWidth="1"/>
    <col min="4839" max="4839" width="13.375" style="42" customWidth="1"/>
    <col min="4840" max="4840" width="12.125" style="42" customWidth="1"/>
    <col min="4841" max="4841" width="23.75" style="42" customWidth="1"/>
    <col min="4842" max="4842" width="6.375" style="42" customWidth="1"/>
    <col min="4843" max="4843" width="0" style="42" hidden="1" customWidth="1"/>
    <col min="4844" max="4844" width="23.75" style="42" customWidth="1"/>
    <col min="4845" max="4845" width="0" style="42" hidden="1" customWidth="1"/>
    <col min="4846" max="4846" width="23.75" style="42" customWidth="1"/>
    <col min="4847" max="4855" width="0" style="42" hidden="1" customWidth="1"/>
    <col min="4856" max="4857" width="13.5" style="42" customWidth="1"/>
    <col min="4858" max="4858" width="13.625" style="42" customWidth="1"/>
    <col min="4859" max="4859" width="0" style="42" hidden="1" customWidth="1"/>
    <col min="4860" max="4860" width="13.5" style="42" customWidth="1"/>
    <col min="4861" max="4861" width="13.375" style="42" customWidth="1"/>
    <col min="4862" max="4862" width="14.375" style="42" customWidth="1"/>
    <col min="4863" max="4863" width="0" style="42" hidden="1" customWidth="1"/>
    <col min="4864" max="4864" width="13.5" style="42" customWidth="1"/>
    <col min="4865" max="4865" width="13.375" style="42" customWidth="1"/>
    <col min="4866" max="4866" width="14.875" style="42" customWidth="1"/>
    <col min="4867" max="4867" width="4.75" style="42" customWidth="1"/>
    <col min="4868" max="4868" width="6.125" style="42" customWidth="1"/>
    <col min="4869" max="4869" width="12.875" style="42" customWidth="1"/>
    <col min="4870" max="4870" width="8.5" style="42" customWidth="1"/>
    <col min="4871" max="4871" width="8.375" style="42" customWidth="1"/>
    <col min="4872" max="4872" width="9.125" style="42" customWidth="1"/>
    <col min="4873" max="5092" width="9" style="42"/>
    <col min="5093" max="5093" width="2.375" style="42" customWidth="1"/>
    <col min="5094" max="5094" width="2.75" style="42" customWidth="1"/>
    <col min="5095" max="5095" width="13.375" style="42" customWidth="1"/>
    <col min="5096" max="5096" width="12.125" style="42" customWidth="1"/>
    <col min="5097" max="5097" width="23.75" style="42" customWidth="1"/>
    <col min="5098" max="5098" width="6.375" style="42" customWidth="1"/>
    <col min="5099" max="5099" width="0" style="42" hidden="1" customWidth="1"/>
    <col min="5100" max="5100" width="23.75" style="42" customWidth="1"/>
    <col min="5101" max="5101" width="0" style="42" hidden="1" customWidth="1"/>
    <col min="5102" max="5102" width="23.75" style="42" customWidth="1"/>
    <col min="5103" max="5111" width="0" style="42" hidden="1" customWidth="1"/>
    <col min="5112" max="5113" width="13.5" style="42" customWidth="1"/>
    <col min="5114" max="5114" width="13.625" style="42" customWidth="1"/>
    <col min="5115" max="5115" width="0" style="42" hidden="1" customWidth="1"/>
    <col min="5116" max="5116" width="13.5" style="42" customWidth="1"/>
    <col min="5117" max="5117" width="13.375" style="42" customWidth="1"/>
    <col min="5118" max="5118" width="14.375" style="42" customWidth="1"/>
    <col min="5119" max="5119" width="0" style="42" hidden="1" customWidth="1"/>
    <col min="5120" max="5120" width="13.5" style="42" customWidth="1"/>
    <col min="5121" max="5121" width="13.375" style="42" customWidth="1"/>
    <col min="5122" max="5122" width="14.875" style="42" customWidth="1"/>
    <col min="5123" max="5123" width="4.75" style="42" customWidth="1"/>
    <col min="5124" max="5124" width="6.125" style="42" customWidth="1"/>
    <col min="5125" max="5125" width="12.875" style="42" customWidth="1"/>
    <col min="5126" max="5126" width="8.5" style="42" customWidth="1"/>
    <col min="5127" max="5127" width="8.375" style="42" customWidth="1"/>
    <col min="5128" max="5128" width="9.125" style="42" customWidth="1"/>
    <col min="5129" max="5348" width="9" style="42"/>
    <col min="5349" max="5349" width="2.375" style="42" customWidth="1"/>
    <col min="5350" max="5350" width="2.75" style="42" customWidth="1"/>
    <col min="5351" max="5351" width="13.375" style="42" customWidth="1"/>
    <col min="5352" max="5352" width="12.125" style="42" customWidth="1"/>
    <col min="5353" max="5353" width="23.75" style="42" customWidth="1"/>
    <col min="5354" max="5354" width="6.375" style="42" customWidth="1"/>
    <col min="5355" max="5355" width="0" style="42" hidden="1" customWidth="1"/>
    <col min="5356" max="5356" width="23.75" style="42" customWidth="1"/>
    <col min="5357" max="5357" width="0" style="42" hidden="1" customWidth="1"/>
    <col min="5358" max="5358" width="23.75" style="42" customWidth="1"/>
    <col min="5359" max="5367" width="0" style="42" hidden="1" customWidth="1"/>
    <col min="5368" max="5369" width="13.5" style="42" customWidth="1"/>
    <col min="5370" max="5370" width="13.625" style="42" customWidth="1"/>
    <col min="5371" max="5371" width="0" style="42" hidden="1" customWidth="1"/>
    <col min="5372" max="5372" width="13.5" style="42" customWidth="1"/>
    <col min="5373" max="5373" width="13.375" style="42" customWidth="1"/>
    <col min="5374" max="5374" width="14.375" style="42" customWidth="1"/>
    <col min="5375" max="5375" width="0" style="42" hidden="1" customWidth="1"/>
    <col min="5376" max="5376" width="13.5" style="42" customWidth="1"/>
    <col min="5377" max="5377" width="13.375" style="42" customWidth="1"/>
    <col min="5378" max="5378" width="14.875" style="42" customWidth="1"/>
    <col min="5379" max="5379" width="4.75" style="42" customWidth="1"/>
    <col min="5380" max="5380" width="6.125" style="42" customWidth="1"/>
    <col min="5381" max="5381" width="12.875" style="42" customWidth="1"/>
    <col min="5382" max="5382" width="8.5" style="42" customWidth="1"/>
    <col min="5383" max="5383" width="8.375" style="42" customWidth="1"/>
    <col min="5384" max="5384" width="9.125" style="42" customWidth="1"/>
    <col min="5385" max="5604" width="9" style="42"/>
    <col min="5605" max="5605" width="2.375" style="42" customWidth="1"/>
    <col min="5606" max="5606" width="2.75" style="42" customWidth="1"/>
    <col min="5607" max="5607" width="13.375" style="42" customWidth="1"/>
    <col min="5608" max="5608" width="12.125" style="42" customWidth="1"/>
    <col min="5609" max="5609" width="23.75" style="42" customWidth="1"/>
    <col min="5610" max="5610" width="6.375" style="42" customWidth="1"/>
    <col min="5611" max="5611" width="0" style="42" hidden="1" customWidth="1"/>
    <col min="5612" max="5612" width="23.75" style="42" customWidth="1"/>
    <col min="5613" max="5613" width="0" style="42" hidden="1" customWidth="1"/>
    <col min="5614" max="5614" width="23.75" style="42" customWidth="1"/>
    <col min="5615" max="5623" width="0" style="42" hidden="1" customWidth="1"/>
    <col min="5624" max="5625" width="13.5" style="42" customWidth="1"/>
    <col min="5626" max="5626" width="13.625" style="42" customWidth="1"/>
    <col min="5627" max="5627" width="0" style="42" hidden="1" customWidth="1"/>
    <col min="5628" max="5628" width="13.5" style="42" customWidth="1"/>
    <col min="5629" max="5629" width="13.375" style="42" customWidth="1"/>
    <col min="5630" max="5630" width="14.375" style="42" customWidth="1"/>
    <col min="5631" max="5631" width="0" style="42" hidden="1" customWidth="1"/>
    <col min="5632" max="5632" width="13.5" style="42" customWidth="1"/>
    <col min="5633" max="5633" width="13.375" style="42" customWidth="1"/>
    <col min="5634" max="5634" width="14.875" style="42" customWidth="1"/>
    <col min="5635" max="5635" width="4.75" style="42" customWidth="1"/>
    <col min="5636" max="5636" width="6.125" style="42" customWidth="1"/>
    <col min="5637" max="5637" width="12.875" style="42" customWidth="1"/>
    <col min="5638" max="5638" width="8.5" style="42" customWidth="1"/>
    <col min="5639" max="5639" width="8.375" style="42" customWidth="1"/>
    <col min="5640" max="5640" width="9.125" style="42" customWidth="1"/>
    <col min="5641" max="5860" width="9" style="42"/>
    <col min="5861" max="5861" width="2.375" style="42" customWidth="1"/>
    <col min="5862" max="5862" width="2.75" style="42" customWidth="1"/>
    <col min="5863" max="5863" width="13.375" style="42" customWidth="1"/>
    <col min="5864" max="5864" width="12.125" style="42" customWidth="1"/>
    <col min="5865" max="5865" width="23.75" style="42" customWidth="1"/>
    <col min="5866" max="5866" width="6.375" style="42" customWidth="1"/>
    <col min="5867" max="5867" width="0" style="42" hidden="1" customWidth="1"/>
    <col min="5868" max="5868" width="23.75" style="42" customWidth="1"/>
    <col min="5869" max="5869" width="0" style="42" hidden="1" customWidth="1"/>
    <col min="5870" max="5870" width="23.75" style="42" customWidth="1"/>
    <col min="5871" max="5879" width="0" style="42" hidden="1" customWidth="1"/>
    <col min="5880" max="5881" width="13.5" style="42" customWidth="1"/>
    <col min="5882" max="5882" width="13.625" style="42" customWidth="1"/>
    <col min="5883" max="5883" width="0" style="42" hidden="1" customWidth="1"/>
    <col min="5884" max="5884" width="13.5" style="42" customWidth="1"/>
    <col min="5885" max="5885" width="13.375" style="42" customWidth="1"/>
    <col min="5886" max="5886" width="14.375" style="42" customWidth="1"/>
    <col min="5887" max="5887" width="0" style="42" hidden="1" customWidth="1"/>
    <col min="5888" max="5888" width="13.5" style="42" customWidth="1"/>
    <col min="5889" max="5889" width="13.375" style="42" customWidth="1"/>
    <col min="5890" max="5890" width="14.875" style="42" customWidth="1"/>
    <col min="5891" max="5891" width="4.75" style="42" customWidth="1"/>
    <col min="5892" max="5892" width="6.125" style="42" customWidth="1"/>
    <col min="5893" max="5893" width="12.875" style="42" customWidth="1"/>
    <col min="5894" max="5894" width="8.5" style="42" customWidth="1"/>
    <col min="5895" max="5895" width="8.375" style="42" customWidth="1"/>
    <col min="5896" max="5896" width="9.125" style="42" customWidth="1"/>
    <col min="5897" max="6116" width="9" style="42"/>
    <col min="6117" max="6117" width="2.375" style="42" customWidth="1"/>
    <col min="6118" max="6118" width="2.75" style="42" customWidth="1"/>
    <col min="6119" max="6119" width="13.375" style="42" customWidth="1"/>
    <col min="6120" max="6120" width="12.125" style="42" customWidth="1"/>
    <col min="6121" max="6121" width="23.75" style="42" customWidth="1"/>
    <col min="6122" max="6122" width="6.375" style="42" customWidth="1"/>
    <col min="6123" max="6123" width="0" style="42" hidden="1" customWidth="1"/>
    <col min="6124" max="6124" width="23.75" style="42" customWidth="1"/>
    <col min="6125" max="6125" width="0" style="42" hidden="1" customWidth="1"/>
    <col min="6126" max="6126" width="23.75" style="42" customWidth="1"/>
    <col min="6127" max="6135" width="0" style="42" hidden="1" customWidth="1"/>
    <col min="6136" max="6137" width="13.5" style="42" customWidth="1"/>
    <col min="6138" max="6138" width="13.625" style="42" customWidth="1"/>
    <col min="6139" max="6139" width="0" style="42" hidden="1" customWidth="1"/>
    <col min="6140" max="6140" width="13.5" style="42" customWidth="1"/>
    <col min="6141" max="6141" width="13.375" style="42" customWidth="1"/>
    <col min="6142" max="6142" width="14.375" style="42" customWidth="1"/>
    <col min="6143" max="6143" width="0" style="42" hidden="1" customWidth="1"/>
    <col min="6144" max="6144" width="13.5" style="42" customWidth="1"/>
    <col min="6145" max="6145" width="13.375" style="42" customWidth="1"/>
    <col min="6146" max="6146" width="14.875" style="42" customWidth="1"/>
    <col min="6147" max="6147" width="4.75" style="42" customWidth="1"/>
    <col min="6148" max="6148" width="6.125" style="42" customWidth="1"/>
    <col min="6149" max="6149" width="12.875" style="42" customWidth="1"/>
    <col min="6150" max="6150" width="8.5" style="42" customWidth="1"/>
    <col min="6151" max="6151" width="8.375" style="42" customWidth="1"/>
    <col min="6152" max="6152" width="9.125" style="42" customWidth="1"/>
    <col min="6153" max="6372" width="9" style="42"/>
    <col min="6373" max="6373" width="2.375" style="42" customWidth="1"/>
    <col min="6374" max="6374" width="2.75" style="42" customWidth="1"/>
    <col min="6375" max="6375" width="13.375" style="42" customWidth="1"/>
    <col min="6376" max="6376" width="12.125" style="42" customWidth="1"/>
    <col min="6377" max="6377" width="23.75" style="42" customWidth="1"/>
    <col min="6378" max="6378" width="6.375" style="42" customWidth="1"/>
    <col min="6379" max="6379" width="0" style="42" hidden="1" customWidth="1"/>
    <col min="6380" max="6380" width="23.75" style="42" customWidth="1"/>
    <col min="6381" max="6381" width="0" style="42" hidden="1" customWidth="1"/>
    <col min="6382" max="6382" width="23.75" style="42" customWidth="1"/>
    <col min="6383" max="6391" width="0" style="42" hidden="1" customWidth="1"/>
    <col min="6392" max="6393" width="13.5" style="42" customWidth="1"/>
    <col min="6394" max="6394" width="13.625" style="42" customWidth="1"/>
    <col min="6395" max="6395" width="0" style="42" hidden="1" customWidth="1"/>
    <col min="6396" max="6396" width="13.5" style="42" customWidth="1"/>
    <col min="6397" max="6397" width="13.375" style="42" customWidth="1"/>
    <col min="6398" max="6398" width="14.375" style="42" customWidth="1"/>
    <col min="6399" max="6399" width="0" style="42" hidden="1" customWidth="1"/>
    <col min="6400" max="6400" width="13.5" style="42" customWidth="1"/>
    <col min="6401" max="6401" width="13.375" style="42" customWidth="1"/>
    <col min="6402" max="6402" width="14.875" style="42" customWidth="1"/>
    <col min="6403" max="6403" width="4.75" style="42" customWidth="1"/>
    <col min="6404" max="6404" width="6.125" style="42" customWidth="1"/>
    <col min="6405" max="6405" width="12.875" style="42" customWidth="1"/>
    <col min="6406" max="6406" width="8.5" style="42" customWidth="1"/>
    <col min="6407" max="6407" width="8.375" style="42" customWidth="1"/>
    <col min="6408" max="6408" width="9.125" style="42" customWidth="1"/>
    <col min="6409" max="6628" width="9" style="42"/>
    <col min="6629" max="6629" width="2.375" style="42" customWidth="1"/>
    <col min="6630" max="6630" width="2.75" style="42" customWidth="1"/>
    <col min="6631" max="6631" width="13.375" style="42" customWidth="1"/>
    <col min="6632" max="6632" width="12.125" style="42" customWidth="1"/>
    <col min="6633" max="6633" width="23.75" style="42" customWidth="1"/>
    <col min="6634" max="6634" width="6.375" style="42" customWidth="1"/>
    <col min="6635" max="6635" width="0" style="42" hidden="1" customWidth="1"/>
    <col min="6636" max="6636" width="23.75" style="42" customWidth="1"/>
    <col min="6637" max="6637" width="0" style="42" hidden="1" customWidth="1"/>
    <col min="6638" max="6638" width="23.75" style="42" customWidth="1"/>
    <col min="6639" max="6647" width="0" style="42" hidden="1" customWidth="1"/>
    <col min="6648" max="6649" width="13.5" style="42" customWidth="1"/>
    <col min="6650" max="6650" width="13.625" style="42" customWidth="1"/>
    <col min="6651" max="6651" width="0" style="42" hidden="1" customWidth="1"/>
    <col min="6652" max="6652" width="13.5" style="42" customWidth="1"/>
    <col min="6653" max="6653" width="13.375" style="42" customWidth="1"/>
    <col min="6654" max="6654" width="14.375" style="42" customWidth="1"/>
    <col min="6655" max="6655" width="0" style="42" hidden="1" customWidth="1"/>
    <col min="6656" max="6656" width="13.5" style="42" customWidth="1"/>
    <col min="6657" max="6657" width="13.375" style="42" customWidth="1"/>
    <col min="6658" max="6658" width="14.875" style="42" customWidth="1"/>
    <col min="6659" max="6659" width="4.75" style="42" customWidth="1"/>
    <col min="6660" max="6660" width="6.125" style="42" customWidth="1"/>
    <col min="6661" max="6661" width="12.875" style="42" customWidth="1"/>
    <col min="6662" max="6662" width="8.5" style="42" customWidth="1"/>
    <col min="6663" max="6663" width="8.375" style="42" customWidth="1"/>
    <col min="6664" max="6664" width="9.125" style="42" customWidth="1"/>
    <col min="6665" max="6884" width="9" style="42"/>
    <col min="6885" max="6885" width="2.375" style="42" customWidth="1"/>
    <col min="6886" max="6886" width="2.75" style="42" customWidth="1"/>
    <col min="6887" max="6887" width="13.375" style="42" customWidth="1"/>
    <col min="6888" max="6888" width="12.125" style="42" customWidth="1"/>
    <col min="6889" max="6889" width="23.75" style="42" customWidth="1"/>
    <col min="6890" max="6890" width="6.375" style="42" customWidth="1"/>
    <col min="6891" max="6891" width="0" style="42" hidden="1" customWidth="1"/>
    <col min="6892" max="6892" width="23.75" style="42" customWidth="1"/>
    <col min="6893" max="6893" width="0" style="42" hidden="1" customWidth="1"/>
    <col min="6894" max="6894" width="23.75" style="42" customWidth="1"/>
    <col min="6895" max="6903" width="0" style="42" hidden="1" customWidth="1"/>
    <col min="6904" max="6905" width="13.5" style="42" customWidth="1"/>
    <col min="6906" max="6906" width="13.625" style="42" customWidth="1"/>
    <col min="6907" max="6907" width="0" style="42" hidden="1" customWidth="1"/>
    <col min="6908" max="6908" width="13.5" style="42" customWidth="1"/>
    <col min="6909" max="6909" width="13.375" style="42" customWidth="1"/>
    <col min="6910" max="6910" width="14.375" style="42" customWidth="1"/>
    <col min="6911" max="6911" width="0" style="42" hidden="1" customWidth="1"/>
    <col min="6912" max="6912" width="13.5" style="42" customWidth="1"/>
    <col min="6913" max="6913" width="13.375" style="42" customWidth="1"/>
    <col min="6914" max="6914" width="14.875" style="42" customWidth="1"/>
    <col min="6915" max="6915" width="4.75" style="42" customWidth="1"/>
    <col min="6916" max="6916" width="6.125" style="42" customWidth="1"/>
    <col min="6917" max="6917" width="12.875" style="42" customWidth="1"/>
    <col min="6918" max="6918" width="8.5" style="42" customWidth="1"/>
    <col min="6919" max="6919" width="8.375" style="42" customWidth="1"/>
    <col min="6920" max="6920" width="9.125" style="42" customWidth="1"/>
    <col min="6921" max="7140" width="9" style="42"/>
    <col min="7141" max="7141" width="2.375" style="42" customWidth="1"/>
    <col min="7142" max="7142" width="2.75" style="42" customWidth="1"/>
    <col min="7143" max="7143" width="13.375" style="42" customWidth="1"/>
    <col min="7144" max="7144" width="12.125" style="42" customWidth="1"/>
    <col min="7145" max="7145" width="23.75" style="42" customWidth="1"/>
    <col min="7146" max="7146" width="6.375" style="42" customWidth="1"/>
    <col min="7147" max="7147" width="0" style="42" hidden="1" customWidth="1"/>
    <col min="7148" max="7148" width="23.75" style="42" customWidth="1"/>
    <col min="7149" max="7149" width="0" style="42" hidden="1" customWidth="1"/>
    <col min="7150" max="7150" width="23.75" style="42" customWidth="1"/>
    <col min="7151" max="7159" width="0" style="42" hidden="1" customWidth="1"/>
    <col min="7160" max="7161" width="13.5" style="42" customWidth="1"/>
    <col min="7162" max="7162" width="13.625" style="42" customWidth="1"/>
    <col min="7163" max="7163" width="0" style="42" hidden="1" customWidth="1"/>
    <col min="7164" max="7164" width="13.5" style="42" customWidth="1"/>
    <col min="7165" max="7165" width="13.375" style="42" customWidth="1"/>
    <col min="7166" max="7166" width="14.375" style="42" customWidth="1"/>
    <col min="7167" max="7167" width="0" style="42" hidden="1" customWidth="1"/>
    <col min="7168" max="7168" width="13.5" style="42" customWidth="1"/>
    <col min="7169" max="7169" width="13.375" style="42" customWidth="1"/>
    <col min="7170" max="7170" width="14.875" style="42" customWidth="1"/>
    <col min="7171" max="7171" width="4.75" style="42" customWidth="1"/>
    <col min="7172" max="7172" width="6.125" style="42" customWidth="1"/>
    <col min="7173" max="7173" width="12.875" style="42" customWidth="1"/>
    <col min="7174" max="7174" width="8.5" style="42" customWidth="1"/>
    <col min="7175" max="7175" width="8.375" style="42" customWidth="1"/>
    <col min="7176" max="7176" width="9.125" style="42" customWidth="1"/>
    <col min="7177" max="7396" width="9" style="42"/>
    <col min="7397" max="7397" width="2.375" style="42" customWidth="1"/>
    <col min="7398" max="7398" width="2.75" style="42" customWidth="1"/>
    <col min="7399" max="7399" width="13.375" style="42" customWidth="1"/>
    <col min="7400" max="7400" width="12.125" style="42" customWidth="1"/>
    <col min="7401" max="7401" width="23.75" style="42" customWidth="1"/>
    <col min="7402" max="7402" width="6.375" style="42" customWidth="1"/>
    <col min="7403" max="7403" width="0" style="42" hidden="1" customWidth="1"/>
    <col min="7404" max="7404" width="23.75" style="42" customWidth="1"/>
    <col min="7405" max="7405" width="0" style="42" hidden="1" customWidth="1"/>
    <col min="7406" max="7406" width="23.75" style="42" customWidth="1"/>
    <col min="7407" max="7415" width="0" style="42" hidden="1" customWidth="1"/>
    <col min="7416" max="7417" width="13.5" style="42" customWidth="1"/>
    <col min="7418" max="7418" width="13.625" style="42" customWidth="1"/>
    <col min="7419" max="7419" width="0" style="42" hidden="1" customWidth="1"/>
    <col min="7420" max="7420" width="13.5" style="42" customWidth="1"/>
    <col min="7421" max="7421" width="13.375" style="42" customWidth="1"/>
    <col min="7422" max="7422" width="14.375" style="42" customWidth="1"/>
    <col min="7423" max="7423" width="0" style="42" hidden="1" customWidth="1"/>
    <col min="7424" max="7424" width="13.5" style="42" customWidth="1"/>
    <col min="7425" max="7425" width="13.375" style="42" customWidth="1"/>
    <col min="7426" max="7426" width="14.875" style="42" customWidth="1"/>
    <col min="7427" max="7427" width="4.75" style="42" customWidth="1"/>
    <col min="7428" max="7428" width="6.125" style="42" customWidth="1"/>
    <col min="7429" max="7429" width="12.875" style="42" customWidth="1"/>
    <col min="7430" max="7430" width="8.5" style="42" customWidth="1"/>
    <col min="7431" max="7431" width="8.375" style="42" customWidth="1"/>
    <col min="7432" max="7432" width="9.125" style="42" customWidth="1"/>
    <col min="7433" max="7652" width="9" style="42"/>
    <col min="7653" max="7653" width="2.375" style="42" customWidth="1"/>
    <col min="7654" max="7654" width="2.75" style="42" customWidth="1"/>
    <col min="7655" max="7655" width="13.375" style="42" customWidth="1"/>
    <col min="7656" max="7656" width="12.125" style="42" customWidth="1"/>
    <col min="7657" max="7657" width="23.75" style="42" customWidth="1"/>
    <col min="7658" max="7658" width="6.375" style="42" customWidth="1"/>
    <col min="7659" max="7659" width="0" style="42" hidden="1" customWidth="1"/>
    <col min="7660" max="7660" width="23.75" style="42" customWidth="1"/>
    <col min="7661" max="7661" width="0" style="42" hidden="1" customWidth="1"/>
    <col min="7662" max="7662" width="23.75" style="42" customWidth="1"/>
    <col min="7663" max="7671" width="0" style="42" hidden="1" customWidth="1"/>
    <col min="7672" max="7673" width="13.5" style="42" customWidth="1"/>
    <col min="7674" max="7674" width="13.625" style="42" customWidth="1"/>
    <col min="7675" max="7675" width="0" style="42" hidden="1" customWidth="1"/>
    <col min="7676" max="7676" width="13.5" style="42" customWidth="1"/>
    <col min="7677" max="7677" width="13.375" style="42" customWidth="1"/>
    <col min="7678" max="7678" width="14.375" style="42" customWidth="1"/>
    <col min="7679" max="7679" width="0" style="42" hidden="1" customWidth="1"/>
    <col min="7680" max="7680" width="13.5" style="42" customWidth="1"/>
    <col min="7681" max="7681" width="13.375" style="42" customWidth="1"/>
    <col min="7682" max="7682" width="14.875" style="42" customWidth="1"/>
    <col min="7683" max="7683" width="4.75" style="42" customWidth="1"/>
    <col min="7684" max="7684" width="6.125" style="42" customWidth="1"/>
    <col min="7685" max="7685" width="12.875" style="42" customWidth="1"/>
    <col min="7686" max="7686" width="8.5" style="42" customWidth="1"/>
    <col min="7687" max="7687" width="8.375" style="42" customWidth="1"/>
    <col min="7688" max="7688" width="9.125" style="42" customWidth="1"/>
    <col min="7689" max="7908" width="9" style="42"/>
    <col min="7909" max="7909" width="2.375" style="42" customWidth="1"/>
    <col min="7910" max="7910" width="2.75" style="42" customWidth="1"/>
    <col min="7911" max="7911" width="13.375" style="42" customWidth="1"/>
    <col min="7912" max="7912" width="12.125" style="42" customWidth="1"/>
    <col min="7913" max="7913" width="23.75" style="42" customWidth="1"/>
    <col min="7914" max="7914" width="6.375" style="42" customWidth="1"/>
    <col min="7915" max="7915" width="0" style="42" hidden="1" customWidth="1"/>
    <col min="7916" max="7916" width="23.75" style="42" customWidth="1"/>
    <col min="7917" max="7917" width="0" style="42" hidden="1" customWidth="1"/>
    <col min="7918" max="7918" width="23.75" style="42" customWidth="1"/>
    <col min="7919" max="7927" width="0" style="42" hidden="1" customWidth="1"/>
    <col min="7928" max="7929" width="13.5" style="42" customWidth="1"/>
    <col min="7930" max="7930" width="13.625" style="42" customWidth="1"/>
    <col min="7931" max="7931" width="0" style="42" hidden="1" customWidth="1"/>
    <col min="7932" max="7932" width="13.5" style="42" customWidth="1"/>
    <col min="7933" max="7933" width="13.375" style="42" customWidth="1"/>
    <col min="7934" max="7934" width="14.375" style="42" customWidth="1"/>
    <col min="7935" max="7935" width="0" style="42" hidden="1" customWidth="1"/>
    <col min="7936" max="7936" width="13.5" style="42" customWidth="1"/>
    <col min="7937" max="7937" width="13.375" style="42" customWidth="1"/>
    <col min="7938" max="7938" width="14.875" style="42" customWidth="1"/>
    <col min="7939" max="7939" width="4.75" style="42" customWidth="1"/>
    <col min="7940" max="7940" width="6.125" style="42" customWidth="1"/>
    <col min="7941" max="7941" width="12.875" style="42" customWidth="1"/>
    <col min="7942" max="7942" width="8.5" style="42" customWidth="1"/>
    <col min="7943" max="7943" width="8.375" style="42" customWidth="1"/>
    <col min="7944" max="7944" width="9.125" style="42" customWidth="1"/>
    <col min="7945" max="8164" width="9" style="42"/>
    <col min="8165" max="8165" width="2.375" style="42" customWidth="1"/>
    <col min="8166" max="8166" width="2.75" style="42" customWidth="1"/>
    <col min="8167" max="8167" width="13.375" style="42" customWidth="1"/>
    <col min="8168" max="8168" width="12.125" style="42" customWidth="1"/>
    <col min="8169" max="8169" width="23.75" style="42" customWidth="1"/>
    <col min="8170" max="8170" width="6.375" style="42" customWidth="1"/>
    <col min="8171" max="8171" width="0" style="42" hidden="1" customWidth="1"/>
    <col min="8172" max="8172" width="23.75" style="42" customWidth="1"/>
    <col min="8173" max="8173" width="0" style="42" hidden="1" customWidth="1"/>
    <col min="8174" max="8174" width="23.75" style="42" customWidth="1"/>
    <col min="8175" max="8183" width="0" style="42" hidden="1" customWidth="1"/>
    <col min="8184" max="8185" width="13.5" style="42" customWidth="1"/>
    <col min="8186" max="8186" width="13.625" style="42" customWidth="1"/>
    <col min="8187" max="8187" width="0" style="42" hidden="1" customWidth="1"/>
    <col min="8188" max="8188" width="13.5" style="42" customWidth="1"/>
    <col min="8189" max="8189" width="13.375" style="42" customWidth="1"/>
    <col min="8190" max="8190" width="14.375" style="42" customWidth="1"/>
    <col min="8191" max="8191" width="0" style="42" hidden="1" customWidth="1"/>
    <col min="8192" max="8192" width="13.5" style="42" customWidth="1"/>
    <col min="8193" max="8193" width="13.375" style="42" customWidth="1"/>
    <col min="8194" max="8194" width="14.875" style="42" customWidth="1"/>
    <col min="8195" max="8195" width="4.75" style="42" customWidth="1"/>
    <col min="8196" max="8196" width="6.125" style="42" customWidth="1"/>
    <col min="8197" max="8197" width="12.875" style="42" customWidth="1"/>
    <col min="8198" max="8198" width="8.5" style="42" customWidth="1"/>
    <col min="8199" max="8199" width="8.375" style="42" customWidth="1"/>
    <col min="8200" max="8200" width="9.125" style="42" customWidth="1"/>
    <col min="8201" max="8420" width="9" style="42"/>
    <col min="8421" max="8421" width="2.375" style="42" customWidth="1"/>
    <col min="8422" max="8422" width="2.75" style="42" customWidth="1"/>
    <col min="8423" max="8423" width="13.375" style="42" customWidth="1"/>
    <col min="8424" max="8424" width="12.125" style="42" customWidth="1"/>
    <col min="8425" max="8425" width="23.75" style="42" customWidth="1"/>
    <col min="8426" max="8426" width="6.375" style="42" customWidth="1"/>
    <col min="8427" max="8427" width="0" style="42" hidden="1" customWidth="1"/>
    <col min="8428" max="8428" width="23.75" style="42" customWidth="1"/>
    <col min="8429" max="8429" width="0" style="42" hidden="1" customWidth="1"/>
    <col min="8430" max="8430" width="23.75" style="42" customWidth="1"/>
    <col min="8431" max="8439" width="0" style="42" hidden="1" customWidth="1"/>
    <col min="8440" max="8441" width="13.5" style="42" customWidth="1"/>
    <col min="8442" max="8442" width="13.625" style="42" customWidth="1"/>
    <col min="8443" max="8443" width="0" style="42" hidden="1" customWidth="1"/>
    <col min="8444" max="8444" width="13.5" style="42" customWidth="1"/>
    <col min="8445" max="8445" width="13.375" style="42" customWidth="1"/>
    <col min="8446" max="8446" width="14.375" style="42" customWidth="1"/>
    <col min="8447" max="8447" width="0" style="42" hidden="1" customWidth="1"/>
    <col min="8448" max="8448" width="13.5" style="42" customWidth="1"/>
    <col min="8449" max="8449" width="13.375" style="42" customWidth="1"/>
    <col min="8450" max="8450" width="14.875" style="42" customWidth="1"/>
    <col min="8451" max="8451" width="4.75" style="42" customWidth="1"/>
    <col min="8452" max="8452" width="6.125" style="42" customWidth="1"/>
    <col min="8453" max="8453" width="12.875" style="42" customWidth="1"/>
    <col min="8454" max="8454" width="8.5" style="42" customWidth="1"/>
    <col min="8455" max="8455" width="8.375" style="42" customWidth="1"/>
    <col min="8456" max="8456" width="9.125" style="42" customWidth="1"/>
    <col min="8457" max="8676" width="9" style="42"/>
    <col min="8677" max="8677" width="2.375" style="42" customWidth="1"/>
    <col min="8678" max="8678" width="2.75" style="42" customWidth="1"/>
    <col min="8679" max="8679" width="13.375" style="42" customWidth="1"/>
    <col min="8680" max="8680" width="12.125" style="42" customWidth="1"/>
    <col min="8681" max="8681" width="23.75" style="42" customWidth="1"/>
    <col min="8682" max="8682" width="6.375" style="42" customWidth="1"/>
    <col min="8683" max="8683" width="0" style="42" hidden="1" customWidth="1"/>
    <col min="8684" max="8684" width="23.75" style="42" customWidth="1"/>
    <col min="8685" max="8685" width="0" style="42" hidden="1" customWidth="1"/>
    <col min="8686" max="8686" width="23.75" style="42" customWidth="1"/>
    <col min="8687" max="8695" width="0" style="42" hidden="1" customWidth="1"/>
    <col min="8696" max="8697" width="13.5" style="42" customWidth="1"/>
    <col min="8698" max="8698" width="13.625" style="42" customWidth="1"/>
    <col min="8699" max="8699" width="0" style="42" hidden="1" customWidth="1"/>
    <col min="8700" max="8700" width="13.5" style="42" customWidth="1"/>
    <col min="8701" max="8701" width="13.375" style="42" customWidth="1"/>
    <col min="8702" max="8702" width="14.375" style="42" customWidth="1"/>
    <col min="8703" max="8703" width="0" style="42" hidden="1" customWidth="1"/>
    <col min="8704" max="8704" width="13.5" style="42" customWidth="1"/>
    <col min="8705" max="8705" width="13.375" style="42" customWidth="1"/>
    <col min="8706" max="8706" width="14.875" style="42" customWidth="1"/>
    <col min="8707" max="8707" width="4.75" style="42" customWidth="1"/>
    <col min="8708" max="8708" width="6.125" style="42" customWidth="1"/>
    <col min="8709" max="8709" width="12.875" style="42" customWidth="1"/>
    <col min="8710" max="8710" width="8.5" style="42" customWidth="1"/>
    <col min="8711" max="8711" width="8.375" style="42" customWidth="1"/>
    <col min="8712" max="8712" width="9.125" style="42" customWidth="1"/>
    <col min="8713" max="8932" width="9" style="42"/>
    <col min="8933" max="8933" width="2.375" style="42" customWidth="1"/>
    <col min="8934" max="8934" width="2.75" style="42" customWidth="1"/>
    <col min="8935" max="8935" width="13.375" style="42" customWidth="1"/>
    <col min="8936" max="8936" width="12.125" style="42" customWidth="1"/>
    <col min="8937" max="8937" width="23.75" style="42" customWidth="1"/>
    <col min="8938" max="8938" width="6.375" style="42" customWidth="1"/>
    <col min="8939" max="8939" width="0" style="42" hidden="1" customWidth="1"/>
    <col min="8940" max="8940" width="23.75" style="42" customWidth="1"/>
    <col min="8941" max="8941" width="0" style="42" hidden="1" customWidth="1"/>
    <col min="8942" max="8942" width="23.75" style="42" customWidth="1"/>
    <col min="8943" max="8951" width="0" style="42" hidden="1" customWidth="1"/>
    <col min="8952" max="8953" width="13.5" style="42" customWidth="1"/>
    <col min="8954" max="8954" width="13.625" style="42" customWidth="1"/>
    <col min="8955" max="8955" width="0" style="42" hidden="1" customWidth="1"/>
    <col min="8956" max="8956" width="13.5" style="42" customWidth="1"/>
    <col min="8957" max="8957" width="13.375" style="42" customWidth="1"/>
    <col min="8958" max="8958" width="14.375" style="42" customWidth="1"/>
    <col min="8959" max="8959" width="0" style="42" hidden="1" customWidth="1"/>
    <col min="8960" max="8960" width="13.5" style="42" customWidth="1"/>
    <col min="8961" max="8961" width="13.375" style="42" customWidth="1"/>
    <col min="8962" max="8962" width="14.875" style="42" customWidth="1"/>
    <col min="8963" max="8963" width="4.75" style="42" customWidth="1"/>
    <col min="8964" max="8964" width="6.125" style="42" customWidth="1"/>
    <col min="8965" max="8965" width="12.875" style="42" customWidth="1"/>
    <col min="8966" max="8966" width="8.5" style="42" customWidth="1"/>
    <col min="8967" max="8967" width="8.375" style="42" customWidth="1"/>
    <col min="8968" max="8968" width="9.125" style="42" customWidth="1"/>
    <col min="8969" max="9188" width="9" style="42"/>
    <col min="9189" max="9189" width="2.375" style="42" customWidth="1"/>
    <col min="9190" max="9190" width="2.75" style="42" customWidth="1"/>
    <col min="9191" max="9191" width="13.375" style="42" customWidth="1"/>
    <col min="9192" max="9192" width="12.125" style="42" customWidth="1"/>
    <col min="9193" max="9193" width="23.75" style="42" customWidth="1"/>
    <col min="9194" max="9194" width="6.375" style="42" customWidth="1"/>
    <col min="9195" max="9195" width="0" style="42" hidden="1" customWidth="1"/>
    <col min="9196" max="9196" width="23.75" style="42" customWidth="1"/>
    <col min="9197" max="9197" width="0" style="42" hidden="1" customWidth="1"/>
    <col min="9198" max="9198" width="23.75" style="42" customWidth="1"/>
    <col min="9199" max="9207" width="0" style="42" hidden="1" customWidth="1"/>
    <col min="9208" max="9209" width="13.5" style="42" customWidth="1"/>
    <col min="9210" max="9210" width="13.625" style="42" customWidth="1"/>
    <col min="9211" max="9211" width="0" style="42" hidden="1" customWidth="1"/>
    <col min="9212" max="9212" width="13.5" style="42" customWidth="1"/>
    <col min="9213" max="9213" width="13.375" style="42" customWidth="1"/>
    <col min="9214" max="9214" width="14.375" style="42" customWidth="1"/>
    <col min="9215" max="9215" width="0" style="42" hidden="1" customWidth="1"/>
    <col min="9216" max="9216" width="13.5" style="42" customWidth="1"/>
    <col min="9217" max="9217" width="13.375" style="42" customWidth="1"/>
    <col min="9218" max="9218" width="14.875" style="42" customWidth="1"/>
    <col min="9219" max="9219" width="4.75" style="42" customWidth="1"/>
    <col min="9220" max="9220" width="6.125" style="42" customWidth="1"/>
    <col min="9221" max="9221" width="12.875" style="42" customWidth="1"/>
    <col min="9222" max="9222" width="8.5" style="42" customWidth="1"/>
    <col min="9223" max="9223" width="8.375" style="42" customWidth="1"/>
    <col min="9224" max="9224" width="9.125" style="42" customWidth="1"/>
    <col min="9225" max="9444" width="9" style="42"/>
    <col min="9445" max="9445" width="2.375" style="42" customWidth="1"/>
    <col min="9446" max="9446" width="2.75" style="42" customWidth="1"/>
    <col min="9447" max="9447" width="13.375" style="42" customWidth="1"/>
    <col min="9448" max="9448" width="12.125" style="42" customWidth="1"/>
    <col min="9449" max="9449" width="23.75" style="42" customWidth="1"/>
    <col min="9450" max="9450" width="6.375" style="42" customWidth="1"/>
    <col min="9451" max="9451" width="0" style="42" hidden="1" customWidth="1"/>
    <col min="9452" max="9452" width="23.75" style="42" customWidth="1"/>
    <col min="9453" max="9453" width="0" style="42" hidden="1" customWidth="1"/>
    <col min="9454" max="9454" width="23.75" style="42" customWidth="1"/>
    <col min="9455" max="9463" width="0" style="42" hidden="1" customWidth="1"/>
    <col min="9464" max="9465" width="13.5" style="42" customWidth="1"/>
    <col min="9466" max="9466" width="13.625" style="42" customWidth="1"/>
    <col min="9467" max="9467" width="0" style="42" hidden="1" customWidth="1"/>
    <col min="9468" max="9468" width="13.5" style="42" customWidth="1"/>
    <col min="9469" max="9469" width="13.375" style="42" customWidth="1"/>
    <col min="9470" max="9470" width="14.375" style="42" customWidth="1"/>
    <col min="9471" max="9471" width="0" style="42" hidden="1" customWidth="1"/>
    <col min="9472" max="9472" width="13.5" style="42" customWidth="1"/>
    <col min="9473" max="9473" width="13.375" style="42" customWidth="1"/>
    <col min="9474" max="9474" width="14.875" style="42" customWidth="1"/>
    <col min="9475" max="9475" width="4.75" style="42" customWidth="1"/>
    <col min="9476" max="9476" width="6.125" style="42" customWidth="1"/>
    <col min="9477" max="9477" width="12.875" style="42" customWidth="1"/>
    <col min="9478" max="9478" width="8.5" style="42" customWidth="1"/>
    <col min="9479" max="9479" width="8.375" style="42" customWidth="1"/>
    <col min="9480" max="9480" width="9.125" style="42" customWidth="1"/>
    <col min="9481" max="9700" width="9" style="42"/>
    <col min="9701" max="9701" width="2.375" style="42" customWidth="1"/>
    <col min="9702" max="9702" width="2.75" style="42" customWidth="1"/>
    <col min="9703" max="9703" width="13.375" style="42" customWidth="1"/>
    <col min="9704" max="9704" width="12.125" style="42" customWidth="1"/>
    <col min="9705" max="9705" width="23.75" style="42" customWidth="1"/>
    <col min="9706" max="9706" width="6.375" style="42" customWidth="1"/>
    <col min="9707" max="9707" width="0" style="42" hidden="1" customWidth="1"/>
    <col min="9708" max="9708" width="23.75" style="42" customWidth="1"/>
    <col min="9709" max="9709" width="0" style="42" hidden="1" customWidth="1"/>
    <col min="9710" max="9710" width="23.75" style="42" customWidth="1"/>
    <col min="9711" max="9719" width="0" style="42" hidden="1" customWidth="1"/>
    <col min="9720" max="9721" width="13.5" style="42" customWidth="1"/>
    <col min="9722" max="9722" width="13.625" style="42" customWidth="1"/>
    <col min="9723" max="9723" width="0" style="42" hidden="1" customWidth="1"/>
    <col min="9724" max="9724" width="13.5" style="42" customWidth="1"/>
    <col min="9725" max="9725" width="13.375" style="42" customWidth="1"/>
    <col min="9726" max="9726" width="14.375" style="42" customWidth="1"/>
    <col min="9727" max="9727" width="0" style="42" hidden="1" customWidth="1"/>
    <col min="9728" max="9728" width="13.5" style="42" customWidth="1"/>
    <col min="9729" max="9729" width="13.375" style="42" customWidth="1"/>
    <col min="9730" max="9730" width="14.875" style="42" customWidth="1"/>
    <col min="9731" max="9731" width="4.75" style="42" customWidth="1"/>
    <col min="9732" max="9732" width="6.125" style="42" customWidth="1"/>
    <col min="9733" max="9733" width="12.875" style="42" customWidth="1"/>
    <col min="9734" max="9734" width="8.5" style="42" customWidth="1"/>
    <col min="9735" max="9735" width="8.375" style="42" customWidth="1"/>
    <col min="9736" max="9736" width="9.125" style="42" customWidth="1"/>
    <col min="9737" max="9956" width="9" style="42"/>
    <col min="9957" max="9957" width="2.375" style="42" customWidth="1"/>
    <col min="9958" max="9958" width="2.75" style="42" customWidth="1"/>
    <col min="9959" max="9959" width="13.375" style="42" customWidth="1"/>
    <col min="9960" max="9960" width="12.125" style="42" customWidth="1"/>
    <col min="9961" max="9961" width="23.75" style="42" customWidth="1"/>
    <col min="9962" max="9962" width="6.375" style="42" customWidth="1"/>
    <col min="9963" max="9963" width="0" style="42" hidden="1" customWidth="1"/>
    <col min="9964" max="9964" width="23.75" style="42" customWidth="1"/>
    <col min="9965" max="9965" width="0" style="42" hidden="1" customWidth="1"/>
    <col min="9966" max="9966" width="23.75" style="42" customWidth="1"/>
    <col min="9967" max="9975" width="0" style="42" hidden="1" customWidth="1"/>
    <col min="9976" max="9977" width="13.5" style="42" customWidth="1"/>
    <col min="9978" max="9978" width="13.625" style="42" customWidth="1"/>
    <col min="9979" max="9979" width="0" style="42" hidden="1" customWidth="1"/>
    <col min="9980" max="9980" width="13.5" style="42" customWidth="1"/>
    <col min="9981" max="9981" width="13.375" style="42" customWidth="1"/>
    <col min="9982" max="9982" width="14.375" style="42" customWidth="1"/>
    <col min="9983" max="9983" width="0" style="42" hidden="1" customWidth="1"/>
    <col min="9984" max="9984" width="13.5" style="42" customWidth="1"/>
    <col min="9985" max="9985" width="13.375" style="42" customWidth="1"/>
    <col min="9986" max="9986" width="14.875" style="42" customWidth="1"/>
    <col min="9987" max="9987" width="4.75" style="42" customWidth="1"/>
    <col min="9988" max="9988" width="6.125" style="42" customWidth="1"/>
    <col min="9989" max="9989" width="12.875" style="42" customWidth="1"/>
    <col min="9990" max="9990" width="8.5" style="42" customWidth="1"/>
    <col min="9991" max="9991" width="8.375" style="42" customWidth="1"/>
    <col min="9992" max="9992" width="9.125" style="42" customWidth="1"/>
    <col min="9993" max="10212" width="9" style="42"/>
    <col min="10213" max="10213" width="2.375" style="42" customWidth="1"/>
    <col min="10214" max="10214" width="2.75" style="42" customWidth="1"/>
    <col min="10215" max="10215" width="13.375" style="42" customWidth="1"/>
    <col min="10216" max="10216" width="12.125" style="42" customWidth="1"/>
    <col min="10217" max="10217" width="23.75" style="42" customWidth="1"/>
    <col min="10218" max="10218" width="6.375" style="42" customWidth="1"/>
    <col min="10219" max="10219" width="0" style="42" hidden="1" customWidth="1"/>
    <col min="10220" max="10220" width="23.75" style="42" customWidth="1"/>
    <col min="10221" max="10221" width="0" style="42" hidden="1" customWidth="1"/>
    <col min="10222" max="10222" width="23.75" style="42" customWidth="1"/>
    <col min="10223" max="10231" width="0" style="42" hidden="1" customWidth="1"/>
    <col min="10232" max="10233" width="13.5" style="42" customWidth="1"/>
    <col min="10234" max="10234" width="13.625" style="42" customWidth="1"/>
    <col min="10235" max="10235" width="0" style="42" hidden="1" customWidth="1"/>
    <col min="10236" max="10236" width="13.5" style="42" customWidth="1"/>
    <col min="10237" max="10237" width="13.375" style="42" customWidth="1"/>
    <col min="10238" max="10238" width="14.375" style="42" customWidth="1"/>
    <col min="10239" max="10239" width="0" style="42" hidden="1" customWidth="1"/>
    <col min="10240" max="10240" width="13.5" style="42" customWidth="1"/>
    <col min="10241" max="10241" width="13.375" style="42" customWidth="1"/>
    <col min="10242" max="10242" width="14.875" style="42" customWidth="1"/>
    <col min="10243" max="10243" width="4.75" style="42" customWidth="1"/>
    <col min="10244" max="10244" width="6.125" style="42" customWidth="1"/>
    <col min="10245" max="10245" width="12.875" style="42" customWidth="1"/>
    <col min="10246" max="10246" width="8.5" style="42" customWidth="1"/>
    <col min="10247" max="10247" width="8.375" style="42" customWidth="1"/>
    <col min="10248" max="10248" width="9.125" style="42" customWidth="1"/>
    <col min="10249" max="10468" width="9" style="42"/>
    <col min="10469" max="10469" width="2.375" style="42" customWidth="1"/>
    <col min="10470" max="10470" width="2.75" style="42" customWidth="1"/>
    <col min="10471" max="10471" width="13.375" style="42" customWidth="1"/>
    <col min="10472" max="10472" width="12.125" style="42" customWidth="1"/>
    <col min="10473" max="10473" width="23.75" style="42" customWidth="1"/>
    <col min="10474" max="10474" width="6.375" style="42" customWidth="1"/>
    <col min="10475" max="10475" width="0" style="42" hidden="1" customWidth="1"/>
    <col min="10476" max="10476" width="23.75" style="42" customWidth="1"/>
    <col min="10477" max="10477" width="0" style="42" hidden="1" customWidth="1"/>
    <col min="10478" max="10478" width="23.75" style="42" customWidth="1"/>
    <col min="10479" max="10487" width="0" style="42" hidden="1" customWidth="1"/>
    <col min="10488" max="10489" width="13.5" style="42" customWidth="1"/>
    <col min="10490" max="10490" width="13.625" style="42" customWidth="1"/>
    <col min="10491" max="10491" width="0" style="42" hidden="1" customWidth="1"/>
    <col min="10492" max="10492" width="13.5" style="42" customWidth="1"/>
    <col min="10493" max="10493" width="13.375" style="42" customWidth="1"/>
    <col min="10494" max="10494" width="14.375" style="42" customWidth="1"/>
    <col min="10495" max="10495" width="0" style="42" hidden="1" customWidth="1"/>
    <col min="10496" max="10496" width="13.5" style="42" customWidth="1"/>
    <col min="10497" max="10497" width="13.375" style="42" customWidth="1"/>
    <col min="10498" max="10498" width="14.875" style="42" customWidth="1"/>
    <col min="10499" max="10499" width="4.75" style="42" customWidth="1"/>
    <col min="10500" max="10500" width="6.125" style="42" customWidth="1"/>
    <col min="10501" max="10501" width="12.875" style="42" customWidth="1"/>
    <col min="10502" max="10502" width="8.5" style="42" customWidth="1"/>
    <col min="10503" max="10503" width="8.375" style="42" customWidth="1"/>
    <col min="10504" max="10504" width="9.125" style="42" customWidth="1"/>
    <col min="10505" max="10724" width="9" style="42"/>
    <col min="10725" max="10725" width="2.375" style="42" customWidth="1"/>
    <col min="10726" max="10726" width="2.75" style="42" customWidth="1"/>
    <col min="10727" max="10727" width="13.375" style="42" customWidth="1"/>
    <col min="10728" max="10728" width="12.125" style="42" customWidth="1"/>
    <col min="10729" max="10729" width="23.75" style="42" customWidth="1"/>
    <col min="10730" max="10730" width="6.375" style="42" customWidth="1"/>
    <col min="10731" max="10731" width="0" style="42" hidden="1" customWidth="1"/>
    <col min="10732" max="10732" width="23.75" style="42" customWidth="1"/>
    <col min="10733" max="10733" width="0" style="42" hidden="1" customWidth="1"/>
    <col min="10734" max="10734" width="23.75" style="42" customWidth="1"/>
    <col min="10735" max="10743" width="0" style="42" hidden="1" customWidth="1"/>
    <col min="10744" max="10745" width="13.5" style="42" customWidth="1"/>
    <col min="10746" max="10746" width="13.625" style="42" customWidth="1"/>
    <col min="10747" max="10747" width="0" style="42" hidden="1" customWidth="1"/>
    <col min="10748" max="10748" width="13.5" style="42" customWidth="1"/>
    <col min="10749" max="10749" width="13.375" style="42" customWidth="1"/>
    <col min="10750" max="10750" width="14.375" style="42" customWidth="1"/>
    <col min="10751" max="10751" width="0" style="42" hidden="1" customWidth="1"/>
    <col min="10752" max="10752" width="13.5" style="42" customWidth="1"/>
    <col min="10753" max="10753" width="13.375" style="42" customWidth="1"/>
    <col min="10754" max="10754" width="14.875" style="42" customWidth="1"/>
    <col min="10755" max="10755" width="4.75" style="42" customWidth="1"/>
    <col min="10756" max="10756" width="6.125" style="42" customWidth="1"/>
    <col min="10757" max="10757" width="12.875" style="42" customWidth="1"/>
    <col min="10758" max="10758" width="8.5" style="42" customWidth="1"/>
    <col min="10759" max="10759" width="8.375" style="42" customWidth="1"/>
    <col min="10760" max="10760" width="9.125" style="42" customWidth="1"/>
    <col min="10761" max="10980" width="9" style="42"/>
    <col min="10981" max="10981" width="2.375" style="42" customWidth="1"/>
    <col min="10982" max="10982" width="2.75" style="42" customWidth="1"/>
    <col min="10983" max="10983" width="13.375" style="42" customWidth="1"/>
    <col min="10984" max="10984" width="12.125" style="42" customWidth="1"/>
    <col min="10985" max="10985" width="23.75" style="42" customWidth="1"/>
    <col min="10986" max="10986" width="6.375" style="42" customWidth="1"/>
    <col min="10987" max="10987" width="0" style="42" hidden="1" customWidth="1"/>
    <col min="10988" max="10988" width="23.75" style="42" customWidth="1"/>
    <col min="10989" max="10989" width="0" style="42" hidden="1" customWidth="1"/>
    <col min="10990" max="10990" width="23.75" style="42" customWidth="1"/>
    <col min="10991" max="10999" width="0" style="42" hidden="1" customWidth="1"/>
    <col min="11000" max="11001" width="13.5" style="42" customWidth="1"/>
    <col min="11002" max="11002" width="13.625" style="42" customWidth="1"/>
    <col min="11003" max="11003" width="0" style="42" hidden="1" customWidth="1"/>
    <col min="11004" max="11004" width="13.5" style="42" customWidth="1"/>
    <col min="11005" max="11005" width="13.375" style="42" customWidth="1"/>
    <col min="11006" max="11006" width="14.375" style="42" customWidth="1"/>
    <col min="11007" max="11007" width="0" style="42" hidden="1" customWidth="1"/>
    <col min="11008" max="11008" width="13.5" style="42" customWidth="1"/>
    <col min="11009" max="11009" width="13.375" style="42" customWidth="1"/>
    <col min="11010" max="11010" width="14.875" style="42" customWidth="1"/>
    <col min="11011" max="11011" width="4.75" style="42" customWidth="1"/>
    <col min="11012" max="11012" width="6.125" style="42" customWidth="1"/>
    <col min="11013" max="11013" width="12.875" style="42" customWidth="1"/>
    <col min="11014" max="11014" width="8.5" style="42" customWidth="1"/>
    <col min="11015" max="11015" width="8.375" style="42" customWidth="1"/>
    <col min="11016" max="11016" width="9.125" style="42" customWidth="1"/>
    <col min="11017" max="11236" width="9" style="42"/>
    <col min="11237" max="11237" width="2.375" style="42" customWidth="1"/>
    <col min="11238" max="11238" width="2.75" style="42" customWidth="1"/>
    <col min="11239" max="11239" width="13.375" style="42" customWidth="1"/>
    <col min="11240" max="11240" width="12.125" style="42" customWidth="1"/>
    <col min="11241" max="11241" width="23.75" style="42" customWidth="1"/>
    <col min="11242" max="11242" width="6.375" style="42" customWidth="1"/>
    <col min="11243" max="11243" width="0" style="42" hidden="1" customWidth="1"/>
    <col min="11244" max="11244" width="23.75" style="42" customWidth="1"/>
    <col min="11245" max="11245" width="0" style="42" hidden="1" customWidth="1"/>
    <col min="11246" max="11246" width="23.75" style="42" customWidth="1"/>
    <col min="11247" max="11255" width="0" style="42" hidden="1" customWidth="1"/>
    <col min="11256" max="11257" width="13.5" style="42" customWidth="1"/>
    <col min="11258" max="11258" width="13.625" style="42" customWidth="1"/>
    <col min="11259" max="11259" width="0" style="42" hidden="1" customWidth="1"/>
    <col min="11260" max="11260" width="13.5" style="42" customWidth="1"/>
    <col min="11261" max="11261" width="13.375" style="42" customWidth="1"/>
    <col min="11262" max="11262" width="14.375" style="42" customWidth="1"/>
    <col min="11263" max="11263" width="0" style="42" hidden="1" customWidth="1"/>
    <col min="11264" max="11264" width="13.5" style="42" customWidth="1"/>
    <col min="11265" max="11265" width="13.375" style="42" customWidth="1"/>
    <col min="11266" max="11266" width="14.875" style="42" customWidth="1"/>
    <col min="11267" max="11267" width="4.75" style="42" customWidth="1"/>
    <col min="11268" max="11268" width="6.125" style="42" customWidth="1"/>
    <col min="11269" max="11269" width="12.875" style="42" customWidth="1"/>
    <col min="11270" max="11270" width="8.5" style="42" customWidth="1"/>
    <col min="11271" max="11271" width="8.375" style="42" customWidth="1"/>
    <col min="11272" max="11272" width="9.125" style="42" customWidth="1"/>
    <col min="11273" max="11492" width="9" style="42"/>
    <col min="11493" max="11493" width="2.375" style="42" customWidth="1"/>
    <col min="11494" max="11494" width="2.75" style="42" customWidth="1"/>
    <col min="11495" max="11495" width="13.375" style="42" customWidth="1"/>
    <col min="11496" max="11496" width="12.125" style="42" customWidth="1"/>
    <col min="11497" max="11497" width="23.75" style="42" customWidth="1"/>
    <col min="11498" max="11498" width="6.375" style="42" customWidth="1"/>
    <col min="11499" max="11499" width="0" style="42" hidden="1" customWidth="1"/>
    <col min="11500" max="11500" width="23.75" style="42" customWidth="1"/>
    <col min="11501" max="11501" width="0" style="42" hidden="1" customWidth="1"/>
    <col min="11502" max="11502" width="23.75" style="42" customWidth="1"/>
    <col min="11503" max="11511" width="0" style="42" hidden="1" customWidth="1"/>
    <col min="11512" max="11513" width="13.5" style="42" customWidth="1"/>
    <col min="11514" max="11514" width="13.625" style="42" customWidth="1"/>
    <col min="11515" max="11515" width="0" style="42" hidden="1" customWidth="1"/>
    <col min="11516" max="11516" width="13.5" style="42" customWidth="1"/>
    <col min="11517" max="11517" width="13.375" style="42" customWidth="1"/>
    <col min="11518" max="11518" width="14.375" style="42" customWidth="1"/>
    <col min="11519" max="11519" width="0" style="42" hidden="1" customWidth="1"/>
    <col min="11520" max="11520" width="13.5" style="42" customWidth="1"/>
    <col min="11521" max="11521" width="13.375" style="42" customWidth="1"/>
    <col min="11522" max="11522" width="14.875" style="42" customWidth="1"/>
    <col min="11523" max="11523" width="4.75" style="42" customWidth="1"/>
    <col min="11524" max="11524" width="6.125" style="42" customWidth="1"/>
    <col min="11525" max="11525" width="12.875" style="42" customWidth="1"/>
    <col min="11526" max="11526" width="8.5" style="42" customWidth="1"/>
    <col min="11527" max="11527" width="8.375" style="42" customWidth="1"/>
    <col min="11528" max="11528" width="9.125" style="42" customWidth="1"/>
    <col min="11529" max="11748" width="9" style="42"/>
    <col min="11749" max="11749" width="2.375" style="42" customWidth="1"/>
    <col min="11750" max="11750" width="2.75" style="42" customWidth="1"/>
    <col min="11751" max="11751" width="13.375" style="42" customWidth="1"/>
    <col min="11752" max="11752" width="12.125" style="42" customWidth="1"/>
    <col min="11753" max="11753" width="23.75" style="42" customWidth="1"/>
    <col min="11754" max="11754" width="6.375" style="42" customWidth="1"/>
    <col min="11755" max="11755" width="0" style="42" hidden="1" customWidth="1"/>
    <col min="11756" max="11756" width="23.75" style="42" customWidth="1"/>
    <col min="11757" max="11757" width="0" style="42" hidden="1" customWidth="1"/>
    <col min="11758" max="11758" width="23.75" style="42" customWidth="1"/>
    <col min="11759" max="11767" width="0" style="42" hidden="1" customWidth="1"/>
    <col min="11768" max="11769" width="13.5" style="42" customWidth="1"/>
    <col min="11770" max="11770" width="13.625" style="42" customWidth="1"/>
    <col min="11771" max="11771" width="0" style="42" hidden="1" customWidth="1"/>
    <col min="11772" max="11772" width="13.5" style="42" customWidth="1"/>
    <col min="11773" max="11773" width="13.375" style="42" customWidth="1"/>
    <col min="11774" max="11774" width="14.375" style="42" customWidth="1"/>
    <col min="11775" max="11775" width="0" style="42" hidden="1" customWidth="1"/>
    <col min="11776" max="11776" width="13.5" style="42" customWidth="1"/>
    <col min="11777" max="11777" width="13.375" style="42" customWidth="1"/>
    <col min="11778" max="11778" width="14.875" style="42" customWidth="1"/>
    <col min="11779" max="11779" width="4.75" style="42" customWidth="1"/>
    <col min="11780" max="11780" width="6.125" style="42" customWidth="1"/>
    <col min="11781" max="11781" width="12.875" style="42" customWidth="1"/>
    <col min="11782" max="11782" width="8.5" style="42" customWidth="1"/>
    <col min="11783" max="11783" width="8.375" style="42" customWidth="1"/>
    <col min="11784" max="11784" width="9.125" style="42" customWidth="1"/>
    <col min="11785" max="12004" width="9" style="42"/>
    <col min="12005" max="12005" width="2.375" style="42" customWidth="1"/>
    <col min="12006" max="12006" width="2.75" style="42" customWidth="1"/>
    <col min="12007" max="12007" width="13.375" style="42" customWidth="1"/>
    <col min="12008" max="12008" width="12.125" style="42" customWidth="1"/>
    <col min="12009" max="12009" width="23.75" style="42" customWidth="1"/>
    <col min="12010" max="12010" width="6.375" style="42" customWidth="1"/>
    <col min="12011" max="12011" width="0" style="42" hidden="1" customWidth="1"/>
    <col min="12012" max="12012" width="23.75" style="42" customWidth="1"/>
    <col min="12013" max="12013" width="0" style="42" hidden="1" customWidth="1"/>
    <col min="12014" max="12014" width="23.75" style="42" customWidth="1"/>
    <col min="12015" max="12023" width="0" style="42" hidden="1" customWidth="1"/>
    <col min="12024" max="12025" width="13.5" style="42" customWidth="1"/>
    <col min="12026" max="12026" width="13.625" style="42" customWidth="1"/>
    <col min="12027" max="12027" width="0" style="42" hidden="1" customWidth="1"/>
    <col min="12028" max="12028" width="13.5" style="42" customWidth="1"/>
    <col min="12029" max="12029" width="13.375" style="42" customWidth="1"/>
    <col min="12030" max="12030" width="14.375" style="42" customWidth="1"/>
    <col min="12031" max="12031" width="0" style="42" hidden="1" customWidth="1"/>
    <col min="12032" max="12032" width="13.5" style="42" customWidth="1"/>
    <col min="12033" max="12033" width="13.375" style="42" customWidth="1"/>
    <col min="12034" max="12034" width="14.875" style="42" customWidth="1"/>
    <col min="12035" max="12035" width="4.75" style="42" customWidth="1"/>
    <col min="12036" max="12036" width="6.125" style="42" customWidth="1"/>
    <col min="12037" max="12037" width="12.875" style="42" customWidth="1"/>
    <col min="12038" max="12038" width="8.5" style="42" customWidth="1"/>
    <col min="12039" max="12039" width="8.375" style="42" customWidth="1"/>
    <col min="12040" max="12040" width="9.125" style="42" customWidth="1"/>
    <col min="12041" max="12260" width="9" style="42"/>
    <col min="12261" max="12261" width="2.375" style="42" customWidth="1"/>
    <col min="12262" max="12262" width="2.75" style="42" customWidth="1"/>
    <col min="12263" max="12263" width="13.375" style="42" customWidth="1"/>
    <col min="12264" max="12264" width="12.125" style="42" customWidth="1"/>
    <col min="12265" max="12265" width="23.75" style="42" customWidth="1"/>
    <col min="12266" max="12266" width="6.375" style="42" customWidth="1"/>
    <col min="12267" max="12267" width="0" style="42" hidden="1" customWidth="1"/>
    <col min="12268" max="12268" width="23.75" style="42" customWidth="1"/>
    <col min="12269" max="12269" width="0" style="42" hidden="1" customWidth="1"/>
    <col min="12270" max="12270" width="23.75" style="42" customWidth="1"/>
    <col min="12271" max="12279" width="0" style="42" hidden="1" customWidth="1"/>
    <col min="12280" max="12281" width="13.5" style="42" customWidth="1"/>
    <col min="12282" max="12282" width="13.625" style="42" customWidth="1"/>
    <col min="12283" max="12283" width="0" style="42" hidden="1" customWidth="1"/>
    <col min="12284" max="12284" width="13.5" style="42" customWidth="1"/>
    <col min="12285" max="12285" width="13.375" style="42" customWidth="1"/>
    <col min="12286" max="12286" width="14.375" style="42" customWidth="1"/>
    <col min="12287" max="12287" width="0" style="42" hidden="1" customWidth="1"/>
    <col min="12288" max="12288" width="13.5" style="42" customWidth="1"/>
    <col min="12289" max="12289" width="13.375" style="42" customWidth="1"/>
    <col min="12290" max="12290" width="14.875" style="42" customWidth="1"/>
    <col min="12291" max="12291" width="4.75" style="42" customWidth="1"/>
    <col min="12292" max="12292" width="6.125" style="42" customWidth="1"/>
    <col min="12293" max="12293" width="12.875" style="42" customWidth="1"/>
    <col min="12294" max="12294" width="8.5" style="42" customWidth="1"/>
    <col min="12295" max="12295" width="8.375" style="42" customWidth="1"/>
    <col min="12296" max="12296" width="9.125" style="42" customWidth="1"/>
    <col min="12297" max="12516" width="9" style="42"/>
    <col min="12517" max="12517" width="2.375" style="42" customWidth="1"/>
    <col min="12518" max="12518" width="2.75" style="42" customWidth="1"/>
    <col min="12519" max="12519" width="13.375" style="42" customWidth="1"/>
    <col min="12520" max="12520" width="12.125" style="42" customWidth="1"/>
    <col min="12521" max="12521" width="23.75" style="42" customWidth="1"/>
    <col min="12522" max="12522" width="6.375" style="42" customWidth="1"/>
    <col min="12523" max="12523" width="0" style="42" hidden="1" customWidth="1"/>
    <col min="12524" max="12524" width="23.75" style="42" customWidth="1"/>
    <col min="12525" max="12525" width="0" style="42" hidden="1" customWidth="1"/>
    <col min="12526" max="12526" width="23.75" style="42" customWidth="1"/>
    <col min="12527" max="12535" width="0" style="42" hidden="1" customWidth="1"/>
    <col min="12536" max="12537" width="13.5" style="42" customWidth="1"/>
    <col min="12538" max="12538" width="13.625" style="42" customWidth="1"/>
    <col min="12539" max="12539" width="0" style="42" hidden="1" customWidth="1"/>
    <col min="12540" max="12540" width="13.5" style="42" customWidth="1"/>
    <col min="12541" max="12541" width="13.375" style="42" customWidth="1"/>
    <col min="12542" max="12542" width="14.375" style="42" customWidth="1"/>
    <col min="12543" max="12543" width="0" style="42" hidden="1" customWidth="1"/>
    <col min="12544" max="12544" width="13.5" style="42" customWidth="1"/>
    <col min="12545" max="12545" width="13.375" style="42" customWidth="1"/>
    <col min="12546" max="12546" width="14.875" style="42" customWidth="1"/>
    <col min="12547" max="12547" width="4.75" style="42" customWidth="1"/>
    <col min="12548" max="12548" width="6.125" style="42" customWidth="1"/>
    <col min="12549" max="12549" width="12.875" style="42" customWidth="1"/>
    <col min="12550" max="12550" width="8.5" style="42" customWidth="1"/>
    <col min="12551" max="12551" width="8.375" style="42" customWidth="1"/>
    <col min="12552" max="12552" width="9.125" style="42" customWidth="1"/>
    <col min="12553" max="12772" width="9" style="42"/>
    <col min="12773" max="12773" width="2.375" style="42" customWidth="1"/>
    <col min="12774" max="12774" width="2.75" style="42" customWidth="1"/>
    <col min="12775" max="12775" width="13.375" style="42" customWidth="1"/>
    <col min="12776" max="12776" width="12.125" style="42" customWidth="1"/>
    <col min="12777" max="12777" width="23.75" style="42" customWidth="1"/>
    <col min="12778" max="12778" width="6.375" style="42" customWidth="1"/>
    <col min="12779" max="12779" width="0" style="42" hidden="1" customWidth="1"/>
    <col min="12780" max="12780" width="23.75" style="42" customWidth="1"/>
    <col min="12781" max="12781" width="0" style="42" hidden="1" customWidth="1"/>
    <col min="12782" max="12782" width="23.75" style="42" customWidth="1"/>
    <col min="12783" max="12791" width="0" style="42" hidden="1" customWidth="1"/>
    <col min="12792" max="12793" width="13.5" style="42" customWidth="1"/>
    <col min="12794" max="12794" width="13.625" style="42" customWidth="1"/>
    <col min="12795" max="12795" width="0" style="42" hidden="1" customWidth="1"/>
    <col min="12796" max="12796" width="13.5" style="42" customWidth="1"/>
    <col min="12797" max="12797" width="13.375" style="42" customWidth="1"/>
    <col min="12798" max="12798" width="14.375" style="42" customWidth="1"/>
    <col min="12799" max="12799" width="0" style="42" hidden="1" customWidth="1"/>
    <col min="12800" max="12800" width="13.5" style="42" customWidth="1"/>
    <col min="12801" max="12801" width="13.375" style="42" customWidth="1"/>
    <col min="12802" max="12802" width="14.875" style="42" customWidth="1"/>
    <col min="12803" max="12803" width="4.75" style="42" customWidth="1"/>
    <col min="12804" max="12804" width="6.125" style="42" customWidth="1"/>
    <col min="12805" max="12805" width="12.875" style="42" customWidth="1"/>
    <col min="12806" max="12806" width="8.5" style="42" customWidth="1"/>
    <col min="12807" max="12807" width="8.375" style="42" customWidth="1"/>
    <col min="12808" max="12808" width="9.125" style="42" customWidth="1"/>
    <col min="12809" max="13028" width="9" style="42"/>
    <col min="13029" max="13029" width="2.375" style="42" customWidth="1"/>
    <col min="13030" max="13030" width="2.75" style="42" customWidth="1"/>
    <col min="13031" max="13031" width="13.375" style="42" customWidth="1"/>
    <col min="13032" max="13032" width="12.125" style="42" customWidth="1"/>
    <col min="13033" max="13033" width="23.75" style="42" customWidth="1"/>
    <col min="13034" max="13034" width="6.375" style="42" customWidth="1"/>
    <col min="13035" max="13035" width="0" style="42" hidden="1" customWidth="1"/>
    <col min="13036" max="13036" width="23.75" style="42" customWidth="1"/>
    <col min="13037" max="13037" width="0" style="42" hidden="1" customWidth="1"/>
    <col min="13038" max="13038" width="23.75" style="42" customWidth="1"/>
    <col min="13039" max="13047" width="0" style="42" hidden="1" customWidth="1"/>
    <col min="13048" max="13049" width="13.5" style="42" customWidth="1"/>
    <col min="13050" max="13050" width="13.625" style="42" customWidth="1"/>
    <col min="13051" max="13051" width="0" style="42" hidden="1" customWidth="1"/>
    <col min="13052" max="13052" width="13.5" style="42" customWidth="1"/>
    <col min="13053" max="13053" width="13.375" style="42" customWidth="1"/>
    <col min="13054" max="13054" width="14.375" style="42" customWidth="1"/>
    <col min="13055" max="13055" width="0" style="42" hidden="1" customWidth="1"/>
    <col min="13056" max="13056" width="13.5" style="42" customWidth="1"/>
    <col min="13057" max="13057" width="13.375" style="42" customWidth="1"/>
    <col min="13058" max="13058" width="14.875" style="42" customWidth="1"/>
    <col min="13059" max="13059" width="4.75" style="42" customWidth="1"/>
    <col min="13060" max="13060" width="6.125" style="42" customWidth="1"/>
    <col min="13061" max="13061" width="12.875" style="42" customWidth="1"/>
    <col min="13062" max="13062" width="8.5" style="42" customWidth="1"/>
    <col min="13063" max="13063" width="8.375" style="42" customWidth="1"/>
    <col min="13064" max="13064" width="9.125" style="42" customWidth="1"/>
    <col min="13065" max="13284" width="9" style="42"/>
    <col min="13285" max="13285" width="2.375" style="42" customWidth="1"/>
    <col min="13286" max="13286" width="2.75" style="42" customWidth="1"/>
    <col min="13287" max="13287" width="13.375" style="42" customWidth="1"/>
    <col min="13288" max="13288" width="12.125" style="42" customWidth="1"/>
    <col min="13289" max="13289" width="23.75" style="42" customWidth="1"/>
    <col min="13290" max="13290" width="6.375" style="42" customWidth="1"/>
    <col min="13291" max="13291" width="0" style="42" hidden="1" customWidth="1"/>
    <col min="13292" max="13292" width="23.75" style="42" customWidth="1"/>
    <col min="13293" max="13293" width="0" style="42" hidden="1" customWidth="1"/>
    <col min="13294" max="13294" width="23.75" style="42" customWidth="1"/>
    <col min="13295" max="13303" width="0" style="42" hidden="1" customWidth="1"/>
    <col min="13304" max="13305" width="13.5" style="42" customWidth="1"/>
    <col min="13306" max="13306" width="13.625" style="42" customWidth="1"/>
    <col min="13307" max="13307" width="0" style="42" hidden="1" customWidth="1"/>
    <col min="13308" max="13308" width="13.5" style="42" customWidth="1"/>
    <col min="13309" max="13309" width="13.375" style="42" customWidth="1"/>
    <col min="13310" max="13310" width="14.375" style="42" customWidth="1"/>
    <col min="13311" max="13311" width="0" style="42" hidden="1" customWidth="1"/>
    <col min="13312" max="13312" width="13.5" style="42" customWidth="1"/>
    <col min="13313" max="13313" width="13.375" style="42" customWidth="1"/>
    <col min="13314" max="13314" width="14.875" style="42" customWidth="1"/>
    <col min="13315" max="13315" width="4.75" style="42" customWidth="1"/>
    <col min="13316" max="13316" width="6.125" style="42" customWidth="1"/>
    <col min="13317" max="13317" width="12.875" style="42" customWidth="1"/>
    <col min="13318" max="13318" width="8.5" style="42" customWidth="1"/>
    <col min="13319" max="13319" width="8.375" style="42" customWidth="1"/>
    <col min="13320" max="13320" width="9.125" style="42" customWidth="1"/>
    <col min="13321" max="13540" width="9" style="42"/>
    <col min="13541" max="13541" width="2.375" style="42" customWidth="1"/>
    <col min="13542" max="13542" width="2.75" style="42" customWidth="1"/>
    <col min="13543" max="13543" width="13.375" style="42" customWidth="1"/>
    <col min="13544" max="13544" width="12.125" style="42" customWidth="1"/>
    <col min="13545" max="13545" width="23.75" style="42" customWidth="1"/>
    <col min="13546" max="13546" width="6.375" style="42" customWidth="1"/>
    <col min="13547" max="13547" width="0" style="42" hidden="1" customWidth="1"/>
    <col min="13548" max="13548" width="23.75" style="42" customWidth="1"/>
    <col min="13549" max="13549" width="0" style="42" hidden="1" customWidth="1"/>
    <col min="13550" max="13550" width="23.75" style="42" customWidth="1"/>
    <col min="13551" max="13559" width="0" style="42" hidden="1" customWidth="1"/>
    <col min="13560" max="13561" width="13.5" style="42" customWidth="1"/>
    <col min="13562" max="13562" width="13.625" style="42" customWidth="1"/>
    <col min="13563" max="13563" width="0" style="42" hidden="1" customWidth="1"/>
    <col min="13564" max="13564" width="13.5" style="42" customWidth="1"/>
    <col min="13565" max="13565" width="13.375" style="42" customWidth="1"/>
    <col min="13566" max="13566" width="14.375" style="42" customWidth="1"/>
    <col min="13567" max="13567" width="0" style="42" hidden="1" customWidth="1"/>
    <col min="13568" max="13568" width="13.5" style="42" customWidth="1"/>
    <col min="13569" max="13569" width="13.375" style="42" customWidth="1"/>
    <col min="13570" max="13570" width="14.875" style="42" customWidth="1"/>
    <col min="13571" max="13571" width="4.75" style="42" customWidth="1"/>
    <col min="13572" max="13572" width="6.125" style="42" customWidth="1"/>
    <col min="13573" max="13573" width="12.875" style="42" customWidth="1"/>
    <col min="13574" max="13574" width="8.5" style="42" customWidth="1"/>
    <col min="13575" max="13575" width="8.375" style="42" customWidth="1"/>
    <col min="13576" max="13576" width="9.125" style="42" customWidth="1"/>
    <col min="13577" max="13796" width="9" style="42"/>
    <col min="13797" max="13797" width="2.375" style="42" customWidth="1"/>
    <col min="13798" max="13798" width="2.75" style="42" customWidth="1"/>
    <col min="13799" max="13799" width="13.375" style="42" customWidth="1"/>
    <col min="13800" max="13800" width="12.125" style="42" customWidth="1"/>
    <col min="13801" max="13801" width="23.75" style="42" customWidth="1"/>
    <col min="13802" max="13802" width="6.375" style="42" customWidth="1"/>
    <col min="13803" max="13803" width="0" style="42" hidden="1" customWidth="1"/>
    <col min="13804" max="13804" width="23.75" style="42" customWidth="1"/>
    <col min="13805" max="13805" width="0" style="42" hidden="1" customWidth="1"/>
    <col min="13806" max="13806" width="23.75" style="42" customWidth="1"/>
    <col min="13807" max="13815" width="0" style="42" hidden="1" customWidth="1"/>
    <col min="13816" max="13817" width="13.5" style="42" customWidth="1"/>
    <col min="13818" max="13818" width="13.625" style="42" customWidth="1"/>
    <col min="13819" max="13819" width="0" style="42" hidden="1" customWidth="1"/>
    <col min="13820" max="13820" width="13.5" style="42" customWidth="1"/>
    <col min="13821" max="13821" width="13.375" style="42" customWidth="1"/>
    <col min="13822" max="13822" width="14.375" style="42" customWidth="1"/>
    <col min="13823" max="13823" width="0" style="42" hidden="1" customWidth="1"/>
    <col min="13824" max="13824" width="13.5" style="42" customWidth="1"/>
    <col min="13825" max="13825" width="13.375" style="42" customWidth="1"/>
    <col min="13826" max="13826" width="14.875" style="42" customWidth="1"/>
    <col min="13827" max="13827" width="4.75" style="42" customWidth="1"/>
    <col min="13828" max="13828" width="6.125" style="42" customWidth="1"/>
    <col min="13829" max="13829" width="12.875" style="42" customWidth="1"/>
    <col min="13830" max="13830" width="8.5" style="42" customWidth="1"/>
    <col min="13831" max="13831" width="8.375" style="42" customWidth="1"/>
    <col min="13832" max="13832" width="9.125" style="42" customWidth="1"/>
    <col min="13833" max="14052" width="9" style="42"/>
    <col min="14053" max="14053" width="2.375" style="42" customWidth="1"/>
    <col min="14054" max="14054" width="2.75" style="42" customWidth="1"/>
    <col min="14055" max="14055" width="13.375" style="42" customWidth="1"/>
    <col min="14056" max="14056" width="12.125" style="42" customWidth="1"/>
    <col min="14057" max="14057" width="23.75" style="42" customWidth="1"/>
    <col min="14058" max="14058" width="6.375" style="42" customWidth="1"/>
    <col min="14059" max="14059" width="0" style="42" hidden="1" customWidth="1"/>
    <col min="14060" max="14060" width="23.75" style="42" customWidth="1"/>
    <col min="14061" max="14061" width="0" style="42" hidden="1" customWidth="1"/>
    <col min="14062" max="14062" width="23.75" style="42" customWidth="1"/>
    <col min="14063" max="14071" width="0" style="42" hidden="1" customWidth="1"/>
    <col min="14072" max="14073" width="13.5" style="42" customWidth="1"/>
    <col min="14074" max="14074" width="13.625" style="42" customWidth="1"/>
    <col min="14075" max="14075" width="0" style="42" hidden="1" customWidth="1"/>
    <col min="14076" max="14076" width="13.5" style="42" customWidth="1"/>
    <col min="14077" max="14077" width="13.375" style="42" customWidth="1"/>
    <col min="14078" max="14078" width="14.375" style="42" customWidth="1"/>
    <col min="14079" max="14079" width="0" style="42" hidden="1" customWidth="1"/>
    <col min="14080" max="14080" width="13.5" style="42" customWidth="1"/>
    <col min="14081" max="14081" width="13.375" style="42" customWidth="1"/>
    <col min="14082" max="14082" width="14.875" style="42" customWidth="1"/>
    <col min="14083" max="14083" width="4.75" style="42" customWidth="1"/>
    <col min="14084" max="14084" width="6.125" style="42" customWidth="1"/>
    <col min="14085" max="14085" width="12.875" style="42" customWidth="1"/>
    <col min="14086" max="14086" width="8.5" style="42" customWidth="1"/>
    <col min="14087" max="14087" width="8.375" style="42" customWidth="1"/>
    <col min="14088" max="14088" width="9.125" style="42" customWidth="1"/>
    <col min="14089" max="14308" width="9" style="42"/>
    <col min="14309" max="14309" width="2.375" style="42" customWidth="1"/>
    <col min="14310" max="14310" width="2.75" style="42" customWidth="1"/>
    <col min="14311" max="14311" width="13.375" style="42" customWidth="1"/>
    <col min="14312" max="14312" width="12.125" style="42" customWidth="1"/>
    <col min="14313" max="14313" width="23.75" style="42" customWidth="1"/>
    <col min="14314" max="14314" width="6.375" style="42" customWidth="1"/>
    <col min="14315" max="14315" width="0" style="42" hidden="1" customWidth="1"/>
    <col min="14316" max="14316" width="23.75" style="42" customWidth="1"/>
    <col min="14317" max="14317" width="0" style="42" hidden="1" customWidth="1"/>
    <col min="14318" max="14318" width="23.75" style="42" customWidth="1"/>
    <col min="14319" max="14327" width="0" style="42" hidden="1" customWidth="1"/>
    <col min="14328" max="14329" width="13.5" style="42" customWidth="1"/>
    <col min="14330" max="14330" width="13.625" style="42" customWidth="1"/>
    <col min="14331" max="14331" width="0" style="42" hidden="1" customWidth="1"/>
    <col min="14332" max="14332" width="13.5" style="42" customWidth="1"/>
    <col min="14333" max="14333" width="13.375" style="42" customWidth="1"/>
    <col min="14334" max="14334" width="14.375" style="42" customWidth="1"/>
    <col min="14335" max="14335" width="0" style="42" hidden="1" customWidth="1"/>
    <col min="14336" max="14336" width="13.5" style="42" customWidth="1"/>
    <col min="14337" max="14337" width="13.375" style="42" customWidth="1"/>
    <col min="14338" max="14338" width="14.875" style="42" customWidth="1"/>
    <col min="14339" max="14339" width="4.75" style="42" customWidth="1"/>
    <col min="14340" max="14340" width="6.125" style="42" customWidth="1"/>
    <col min="14341" max="14341" width="12.875" style="42" customWidth="1"/>
    <col min="14342" max="14342" width="8.5" style="42" customWidth="1"/>
    <col min="14343" max="14343" width="8.375" style="42" customWidth="1"/>
    <col min="14344" max="14344" width="9.125" style="42" customWidth="1"/>
    <col min="14345" max="14564" width="9" style="42"/>
    <col min="14565" max="14565" width="2.375" style="42" customWidth="1"/>
    <col min="14566" max="14566" width="2.75" style="42" customWidth="1"/>
    <col min="14567" max="14567" width="13.375" style="42" customWidth="1"/>
    <col min="14568" max="14568" width="12.125" style="42" customWidth="1"/>
    <col min="14569" max="14569" width="23.75" style="42" customWidth="1"/>
    <col min="14570" max="14570" width="6.375" style="42" customWidth="1"/>
    <col min="14571" max="14571" width="0" style="42" hidden="1" customWidth="1"/>
    <col min="14572" max="14572" width="23.75" style="42" customWidth="1"/>
    <col min="14573" max="14573" width="0" style="42" hidden="1" customWidth="1"/>
    <col min="14574" max="14574" width="23.75" style="42" customWidth="1"/>
    <col min="14575" max="14583" width="0" style="42" hidden="1" customWidth="1"/>
    <col min="14584" max="14585" width="13.5" style="42" customWidth="1"/>
    <col min="14586" max="14586" width="13.625" style="42" customWidth="1"/>
    <col min="14587" max="14587" width="0" style="42" hidden="1" customWidth="1"/>
    <col min="14588" max="14588" width="13.5" style="42" customWidth="1"/>
    <col min="14589" max="14589" width="13.375" style="42" customWidth="1"/>
    <col min="14590" max="14590" width="14.375" style="42" customWidth="1"/>
    <col min="14591" max="14591" width="0" style="42" hidden="1" customWidth="1"/>
    <col min="14592" max="14592" width="13.5" style="42" customWidth="1"/>
    <col min="14593" max="14593" width="13.375" style="42" customWidth="1"/>
    <col min="14594" max="14594" width="14.875" style="42" customWidth="1"/>
    <col min="14595" max="14595" width="4.75" style="42" customWidth="1"/>
    <col min="14596" max="14596" width="6.125" style="42" customWidth="1"/>
    <col min="14597" max="14597" width="12.875" style="42" customWidth="1"/>
    <col min="14598" max="14598" width="8.5" style="42" customWidth="1"/>
    <col min="14599" max="14599" width="8.375" style="42" customWidth="1"/>
    <col min="14600" max="14600" width="9.125" style="42" customWidth="1"/>
    <col min="14601" max="14820" width="9" style="42"/>
    <col min="14821" max="14821" width="2.375" style="42" customWidth="1"/>
    <col min="14822" max="14822" width="2.75" style="42" customWidth="1"/>
    <col min="14823" max="14823" width="13.375" style="42" customWidth="1"/>
    <col min="14824" max="14824" width="12.125" style="42" customWidth="1"/>
    <col min="14825" max="14825" width="23.75" style="42" customWidth="1"/>
    <col min="14826" max="14826" width="6.375" style="42" customWidth="1"/>
    <col min="14827" max="14827" width="0" style="42" hidden="1" customWidth="1"/>
    <col min="14828" max="14828" width="23.75" style="42" customWidth="1"/>
    <col min="14829" max="14829" width="0" style="42" hidden="1" customWidth="1"/>
    <col min="14830" max="14830" width="23.75" style="42" customWidth="1"/>
    <col min="14831" max="14839" width="0" style="42" hidden="1" customWidth="1"/>
    <col min="14840" max="14841" width="13.5" style="42" customWidth="1"/>
    <col min="14842" max="14842" width="13.625" style="42" customWidth="1"/>
    <col min="14843" max="14843" width="0" style="42" hidden="1" customWidth="1"/>
    <col min="14844" max="14844" width="13.5" style="42" customWidth="1"/>
    <col min="14845" max="14845" width="13.375" style="42" customWidth="1"/>
    <col min="14846" max="14846" width="14.375" style="42" customWidth="1"/>
    <col min="14847" max="14847" width="0" style="42" hidden="1" customWidth="1"/>
    <col min="14848" max="14848" width="13.5" style="42" customWidth="1"/>
    <col min="14849" max="14849" width="13.375" style="42" customWidth="1"/>
    <col min="14850" max="14850" width="14.875" style="42" customWidth="1"/>
    <col min="14851" max="14851" width="4.75" style="42" customWidth="1"/>
    <col min="14852" max="14852" width="6.125" style="42" customWidth="1"/>
    <col min="14853" max="14853" width="12.875" style="42" customWidth="1"/>
    <col min="14854" max="14854" width="8.5" style="42" customWidth="1"/>
    <col min="14855" max="14855" width="8.375" style="42" customWidth="1"/>
    <col min="14856" max="14856" width="9.125" style="42" customWidth="1"/>
    <col min="14857" max="15076" width="9" style="42"/>
    <col min="15077" max="15077" width="2.375" style="42" customWidth="1"/>
    <col min="15078" max="15078" width="2.75" style="42" customWidth="1"/>
    <col min="15079" max="15079" width="13.375" style="42" customWidth="1"/>
    <col min="15080" max="15080" width="12.125" style="42" customWidth="1"/>
    <col min="15081" max="15081" width="23.75" style="42" customWidth="1"/>
    <col min="15082" max="15082" width="6.375" style="42" customWidth="1"/>
    <col min="15083" max="15083" width="0" style="42" hidden="1" customWidth="1"/>
    <col min="15084" max="15084" width="23.75" style="42" customWidth="1"/>
    <col min="15085" max="15085" width="0" style="42" hidden="1" customWidth="1"/>
    <col min="15086" max="15086" width="23.75" style="42" customWidth="1"/>
    <col min="15087" max="15095" width="0" style="42" hidden="1" customWidth="1"/>
    <col min="15096" max="15097" width="13.5" style="42" customWidth="1"/>
    <col min="15098" max="15098" width="13.625" style="42" customWidth="1"/>
    <col min="15099" max="15099" width="0" style="42" hidden="1" customWidth="1"/>
    <col min="15100" max="15100" width="13.5" style="42" customWidth="1"/>
    <col min="15101" max="15101" width="13.375" style="42" customWidth="1"/>
    <col min="15102" max="15102" width="14.375" style="42" customWidth="1"/>
    <col min="15103" max="15103" width="0" style="42" hidden="1" customWidth="1"/>
    <col min="15104" max="15104" width="13.5" style="42" customWidth="1"/>
    <col min="15105" max="15105" width="13.375" style="42" customWidth="1"/>
    <col min="15106" max="15106" width="14.875" style="42" customWidth="1"/>
    <col min="15107" max="15107" width="4.75" style="42" customWidth="1"/>
    <col min="15108" max="15108" width="6.125" style="42" customWidth="1"/>
    <col min="15109" max="15109" width="12.875" style="42" customWidth="1"/>
    <col min="15110" max="15110" width="8.5" style="42" customWidth="1"/>
    <col min="15111" max="15111" width="8.375" style="42" customWidth="1"/>
    <col min="15112" max="15112" width="9.125" style="42" customWidth="1"/>
    <col min="15113" max="15332" width="9" style="42"/>
    <col min="15333" max="15333" width="2.375" style="42" customWidth="1"/>
    <col min="15334" max="15334" width="2.75" style="42" customWidth="1"/>
    <col min="15335" max="15335" width="13.375" style="42" customWidth="1"/>
    <col min="15336" max="15336" width="12.125" style="42" customWidth="1"/>
    <col min="15337" max="15337" width="23.75" style="42" customWidth="1"/>
    <col min="15338" max="15338" width="6.375" style="42" customWidth="1"/>
    <col min="15339" max="15339" width="0" style="42" hidden="1" customWidth="1"/>
    <col min="15340" max="15340" width="23.75" style="42" customWidth="1"/>
    <col min="15341" max="15341" width="0" style="42" hidden="1" customWidth="1"/>
    <col min="15342" max="15342" width="23.75" style="42" customWidth="1"/>
    <col min="15343" max="15351" width="0" style="42" hidden="1" customWidth="1"/>
    <col min="15352" max="15353" width="13.5" style="42" customWidth="1"/>
    <col min="15354" max="15354" width="13.625" style="42" customWidth="1"/>
    <col min="15355" max="15355" width="0" style="42" hidden="1" customWidth="1"/>
    <col min="15356" max="15356" width="13.5" style="42" customWidth="1"/>
    <col min="15357" max="15357" width="13.375" style="42" customWidth="1"/>
    <col min="15358" max="15358" width="14.375" style="42" customWidth="1"/>
    <col min="15359" max="15359" width="0" style="42" hidden="1" customWidth="1"/>
    <col min="15360" max="15360" width="13.5" style="42" customWidth="1"/>
    <col min="15361" max="15361" width="13.375" style="42" customWidth="1"/>
    <col min="15362" max="15362" width="14.875" style="42" customWidth="1"/>
    <col min="15363" max="15363" width="4.75" style="42" customWidth="1"/>
    <col min="15364" max="15364" width="6.125" style="42" customWidth="1"/>
    <col min="15365" max="15365" width="12.875" style="42" customWidth="1"/>
    <col min="15366" max="15366" width="8.5" style="42" customWidth="1"/>
    <col min="15367" max="15367" width="8.375" style="42" customWidth="1"/>
    <col min="15368" max="15368" width="9.125" style="42" customWidth="1"/>
    <col min="15369" max="15588" width="9" style="42"/>
    <col min="15589" max="15589" width="2.375" style="42" customWidth="1"/>
    <col min="15590" max="15590" width="2.75" style="42" customWidth="1"/>
    <col min="15591" max="15591" width="13.375" style="42" customWidth="1"/>
    <col min="15592" max="15592" width="12.125" style="42" customWidth="1"/>
    <col min="15593" max="15593" width="23.75" style="42" customWidth="1"/>
    <col min="15594" max="15594" width="6.375" style="42" customWidth="1"/>
    <col min="15595" max="15595" width="0" style="42" hidden="1" customWidth="1"/>
    <col min="15596" max="15596" width="23.75" style="42" customWidth="1"/>
    <col min="15597" max="15597" width="0" style="42" hidden="1" customWidth="1"/>
    <col min="15598" max="15598" width="23.75" style="42" customWidth="1"/>
    <col min="15599" max="15607" width="0" style="42" hidden="1" customWidth="1"/>
    <col min="15608" max="15609" width="13.5" style="42" customWidth="1"/>
    <col min="15610" max="15610" width="13.625" style="42" customWidth="1"/>
    <col min="15611" max="15611" width="0" style="42" hidden="1" customWidth="1"/>
    <col min="15612" max="15612" width="13.5" style="42" customWidth="1"/>
    <col min="15613" max="15613" width="13.375" style="42" customWidth="1"/>
    <col min="15614" max="15614" width="14.375" style="42" customWidth="1"/>
    <col min="15615" max="15615" width="0" style="42" hidden="1" customWidth="1"/>
    <col min="15616" max="15616" width="13.5" style="42" customWidth="1"/>
    <col min="15617" max="15617" width="13.375" style="42" customWidth="1"/>
    <col min="15618" max="15618" width="14.875" style="42" customWidth="1"/>
    <col min="15619" max="15619" width="4.75" style="42" customWidth="1"/>
    <col min="15620" max="15620" width="6.125" style="42" customWidth="1"/>
    <col min="15621" max="15621" width="12.875" style="42" customWidth="1"/>
    <col min="15622" max="15622" width="8.5" style="42" customWidth="1"/>
    <col min="15623" max="15623" width="8.375" style="42" customWidth="1"/>
    <col min="15624" max="15624" width="9.125" style="42" customWidth="1"/>
    <col min="15625" max="15844" width="9" style="42"/>
    <col min="15845" max="15845" width="2.375" style="42" customWidth="1"/>
    <col min="15846" max="15846" width="2.75" style="42" customWidth="1"/>
    <col min="15847" max="15847" width="13.375" style="42" customWidth="1"/>
    <col min="15848" max="15848" width="12.125" style="42" customWidth="1"/>
    <col min="15849" max="15849" width="23.75" style="42" customWidth="1"/>
    <col min="15850" max="15850" width="6.375" style="42" customWidth="1"/>
    <col min="15851" max="15851" width="0" style="42" hidden="1" customWidth="1"/>
    <col min="15852" max="15852" width="23.75" style="42" customWidth="1"/>
    <col min="15853" max="15853" width="0" style="42" hidden="1" customWidth="1"/>
    <col min="15854" max="15854" width="23.75" style="42" customWidth="1"/>
    <col min="15855" max="15863" width="0" style="42" hidden="1" customWidth="1"/>
    <col min="15864" max="15865" width="13.5" style="42" customWidth="1"/>
    <col min="15866" max="15866" width="13.625" style="42" customWidth="1"/>
    <col min="15867" max="15867" width="0" style="42" hidden="1" customWidth="1"/>
    <col min="15868" max="15868" width="13.5" style="42" customWidth="1"/>
    <col min="15869" max="15869" width="13.375" style="42" customWidth="1"/>
    <col min="15870" max="15870" width="14.375" style="42" customWidth="1"/>
    <col min="15871" max="15871" width="0" style="42" hidden="1" customWidth="1"/>
    <col min="15872" max="15872" width="13.5" style="42" customWidth="1"/>
    <col min="15873" max="15873" width="13.375" style="42" customWidth="1"/>
    <col min="15874" max="15874" width="14.875" style="42" customWidth="1"/>
    <col min="15875" max="15875" width="4.75" style="42" customWidth="1"/>
    <col min="15876" max="15876" width="6.125" style="42" customWidth="1"/>
    <col min="15877" max="15877" width="12.875" style="42" customWidth="1"/>
    <col min="15878" max="15878" width="8.5" style="42" customWidth="1"/>
    <col min="15879" max="15879" width="8.375" style="42" customWidth="1"/>
    <col min="15880" max="15880" width="9.125" style="42" customWidth="1"/>
    <col min="15881" max="16100" width="9" style="42"/>
    <col min="16101" max="16101" width="2.375" style="42" customWidth="1"/>
    <col min="16102" max="16102" width="2.75" style="42" customWidth="1"/>
    <col min="16103" max="16103" width="13.375" style="42" customWidth="1"/>
    <col min="16104" max="16104" width="12.125" style="42" customWidth="1"/>
    <col min="16105" max="16105" width="23.75" style="42" customWidth="1"/>
    <col min="16106" max="16106" width="6.375" style="42" customWidth="1"/>
    <col min="16107" max="16107" width="0" style="42" hidden="1" customWidth="1"/>
    <col min="16108" max="16108" width="23.75" style="42" customWidth="1"/>
    <col min="16109" max="16109" width="0" style="42" hidden="1" customWidth="1"/>
    <col min="16110" max="16110" width="23.75" style="42" customWidth="1"/>
    <col min="16111" max="16119" width="0" style="42" hidden="1" customWidth="1"/>
    <col min="16120" max="16121" width="13.5" style="42" customWidth="1"/>
    <col min="16122" max="16122" width="13.625" style="42" customWidth="1"/>
    <col min="16123" max="16123" width="0" style="42" hidden="1" customWidth="1"/>
    <col min="16124" max="16124" width="13.5" style="42" customWidth="1"/>
    <col min="16125" max="16125" width="13.375" style="42" customWidth="1"/>
    <col min="16126" max="16126" width="14.375" style="42" customWidth="1"/>
    <col min="16127" max="16127" width="0" style="42" hidden="1" customWidth="1"/>
    <col min="16128" max="16128" width="13.5" style="42" customWidth="1"/>
    <col min="16129" max="16129" width="13.375" style="42" customWidth="1"/>
    <col min="16130" max="16130" width="14.875" style="42" customWidth="1"/>
    <col min="16131" max="16131" width="4.75" style="42" customWidth="1"/>
    <col min="16132" max="16132" width="6.125" style="42" customWidth="1"/>
    <col min="16133" max="16133" width="12.875" style="42" customWidth="1"/>
    <col min="16134" max="16134" width="8.5" style="42" customWidth="1"/>
    <col min="16135" max="16135" width="8.375" style="42" customWidth="1"/>
    <col min="16136" max="16136" width="9.125" style="42" customWidth="1"/>
    <col min="16137" max="16384" width="9" style="42"/>
  </cols>
  <sheetData>
    <row r="1" spans="2:19" ht="36.75" customHeight="1" thickBot="1" x14ac:dyDescent="0.2">
      <c r="C1" s="743"/>
      <c r="E1" s="744"/>
      <c r="F1" s="744"/>
      <c r="G1" s="744"/>
      <c r="H1" s="744"/>
      <c r="I1" s="744"/>
      <c r="J1" s="744"/>
      <c r="K1" s="744"/>
      <c r="L1" s="744"/>
      <c r="M1" s="744"/>
      <c r="N1" s="744"/>
      <c r="O1" s="744"/>
      <c r="P1" s="744"/>
      <c r="Q1" s="744"/>
      <c r="R1" s="744"/>
      <c r="S1" s="744"/>
    </row>
    <row r="2" spans="2:19" ht="39" customHeight="1" thickBot="1" x14ac:dyDescent="0.2">
      <c r="C2" s="169" t="s">
        <v>79</v>
      </c>
      <c r="D2" s="170">
        <f>IF('4-1.労働時間延長メニューメイン-1'!$D$4="","",'4-1.労働時間延長メニューメイン-1'!$D$4)</f>
        <v>102</v>
      </c>
      <c r="F2" s="390" t="str">
        <f>"【"&amp;$D$6&amp;"】"</f>
        <v>【生駒市】</v>
      </c>
      <c r="G2" s="391"/>
      <c r="H2" s="392" t="s">
        <v>169</v>
      </c>
      <c r="N2" s="42"/>
      <c r="O2" s="42"/>
      <c r="R2" s="404"/>
      <c r="S2" s="388"/>
    </row>
    <row r="3" spans="2:19" ht="35.450000000000003" customHeight="1" thickBot="1" x14ac:dyDescent="0.2">
      <c r="C3" s="922" t="s">
        <v>110</v>
      </c>
      <c r="D3" s="923"/>
      <c r="E3" s="390" t="s">
        <v>142</v>
      </c>
      <c r="F3" s="391"/>
      <c r="G3" s="391"/>
      <c r="H3" s="393"/>
      <c r="I3" s="933" t="s">
        <v>122</v>
      </c>
      <c r="J3" s="934"/>
      <c r="K3" s="935"/>
      <c r="L3" s="936" t="s">
        <v>123</v>
      </c>
      <c r="M3" s="937"/>
      <c r="N3" s="938"/>
      <c r="O3" s="939" t="s">
        <v>166</v>
      </c>
      <c r="P3" s="940"/>
      <c r="Q3" s="941"/>
      <c r="R3" s="388"/>
      <c r="S3" s="44"/>
    </row>
    <row r="4" spans="2:19" ht="35.450000000000003" customHeight="1" x14ac:dyDescent="0.15">
      <c r="C4" s="942" t="str">
        <f>'4-1.労働時間延長メニューメイン-1'!$C$6&amp;"　様"</f>
        <v>ＡＢ　様</v>
      </c>
      <c r="D4" s="943"/>
      <c r="E4" s="391"/>
      <c r="F4" s="391"/>
      <c r="G4" s="391"/>
      <c r="H4" s="394"/>
      <c r="I4" s="395" t="s">
        <v>124</v>
      </c>
      <c r="J4" s="396" t="s">
        <v>125</v>
      </c>
      <c r="K4" s="397" t="s">
        <v>126</v>
      </c>
      <c r="L4" s="398" t="s">
        <v>124</v>
      </c>
      <c r="M4" s="399" t="s">
        <v>125</v>
      </c>
      <c r="N4" s="400" t="s">
        <v>126</v>
      </c>
      <c r="O4" s="401" t="s">
        <v>127</v>
      </c>
      <c r="P4" s="402" t="s">
        <v>125</v>
      </c>
      <c r="Q4" s="403" t="s">
        <v>126</v>
      </c>
      <c r="R4" s="388"/>
      <c r="S4" s="745"/>
    </row>
    <row r="5" spans="2:19" ht="30" customHeight="1" x14ac:dyDescent="0.15">
      <c r="C5" s="168" t="s">
        <v>19</v>
      </c>
      <c r="D5" s="171">
        <f>IF('4-1.労働時間延長メニューメイン-1'!$D$10="","",'4-1.労働時間延長メニューメイン-1'!$D$10)</f>
        <v>26</v>
      </c>
      <c r="E5" s="404"/>
      <c r="F5" s="405"/>
      <c r="G5" s="406"/>
      <c r="H5" s="407"/>
      <c r="I5" s="408">
        <f>IF($D$6="","",VLOOKUP($D$6,'2-2.保険料・地方税等入力画面'!$D$17:$P$50,2,0))</f>
        <v>7.3999999999999996E-2</v>
      </c>
      <c r="J5" s="409">
        <f>IF($D$6="","",VLOOKUP($D$6,'2-2.保険料・地方税等入力画面'!$D$17:$P$50,3,0))</f>
        <v>26600</v>
      </c>
      <c r="K5" s="410">
        <f>IF($D$6="","",VLOOKUP($D$6,'2-2.保険料・地方税等入力画面'!$D$17:$P$50,4,0))</f>
        <v>24500</v>
      </c>
      <c r="L5" s="411">
        <f>IF($D$6="","",VLOOKUP($D$6,'2-2.保険料・地方税等入力画面'!$D$17:$P$50,6,0))</f>
        <v>0.03</v>
      </c>
      <c r="M5" s="412">
        <f>IF($D$6="","",VLOOKUP($D$6,'2-2.保険料・地方税等入力画面'!$D$17:$P$50,7,0))</f>
        <v>10200</v>
      </c>
      <c r="N5" s="413">
        <f>IF($D$6="","",VLOOKUP($D$6,'2-2.保険料・地方税等入力画面'!$D$17:$P$50,8,0))</f>
        <v>8200</v>
      </c>
      <c r="O5" s="414">
        <f>IF($D$6="","",VLOOKUP($D$6,'2-2.保険料・地方税等入力画面'!$D$17:$P$50,10,0))</f>
        <v>0.03</v>
      </c>
      <c r="P5" s="415">
        <f>IF($D$6="","",VLOOKUP($D$6,'2-2.保険料・地方税等入力画面'!$D$17:$P$50,11,0))</f>
        <v>17800</v>
      </c>
      <c r="Q5" s="416">
        <v>0</v>
      </c>
      <c r="R5" s="213"/>
      <c r="S5" s="745"/>
    </row>
    <row r="6" spans="2:19" ht="30" customHeight="1" thickBot="1" x14ac:dyDescent="0.2">
      <c r="C6" s="172" t="s">
        <v>165</v>
      </c>
      <c r="D6" s="173" t="str">
        <f>IF('4-1.労働時間延長メニューメイン-1'!$D$11="","",'4-1.労働時間延長メニューメイン-1'!$D$11)</f>
        <v>生駒市</v>
      </c>
      <c r="E6" s="404"/>
      <c r="F6" s="405"/>
      <c r="G6" s="406"/>
      <c r="H6" s="407"/>
      <c r="I6" s="417" t="s">
        <v>128</v>
      </c>
      <c r="J6" s="418">
        <f>IF($D$6="","",VLOOKUP($D$6,'2-2.保険料・地方税等入力画面'!$D$17:$P$50,5,0))</f>
        <v>650000</v>
      </c>
      <c r="K6" s="419"/>
      <c r="L6" s="420" t="s">
        <v>128</v>
      </c>
      <c r="M6" s="421">
        <f>IF($D$6="","",VLOOKUP($D$6,'2-2.保険料・地方税等入力画面'!$D$17:$P$50,9,0))</f>
        <v>200000</v>
      </c>
      <c r="N6" s="422"/>
      <c r="O6" s="423" t="s">
        <v>128</v>
      </c>
      <c r="P6" s="424">
        <f>IF($D$6="","",VLOOKUP($D$6,'2-2.保険料・地方税等入力画面'!$D$17:$P$50,13,0))</f>
        <v>170000</v>
      </c>
      <c r="Q6" s="425"/>
      <c r="S6" s="745"/>
    </row>
    <row r="7" spans="2:19" ht="18.75" customHeight="1" thickBot="1" x14ac:dyDescent="0.2">
      <c r="D7" s="924"/>
      <c r="E7" s="924"/>
      <c r="F7" s="924"/>
      <c r="N7" s="42"/>
      <c r="O7" s="42"/>
      <c r="Q7" s="69" t="s">
        <v>168</v>
      </c>
    </row>
    <row r="8" spans="2:19" ht="24.6" customHeight="1" x14ac:dyDescent="0.15">
      <c r="B8" s="944" t="s">
        <v>48</v>
      </c>
      <c r="C8" s="945"/>
      <c r="D8" s="931" t="s">
        <v>131</v>
      </c>
      <c r="E8" s="950" t="s">
        <v>129</v>
      </c>
      <c r="F8" s="950" t="s">
        <v>167</v>
      </c>
      <c r="G8" s="952" t="s">
        <v>132</v>
      </c>
      <c r="H8" s="927" t="s">
        <v>127</v>
      </c>
      <c r="I8" s="929" t="s">
        <v>125</v>
      </c>
      <c r="J8" s="912" t="s">
        <v>126</v>
      </c>
      <c r="K8" s="914" t="s">
        <v>127</v>
      </c>
      <c r="L8" s="916" t="s">
        <v>125</v>
      </c>
      <c r="M8" s="918" t="s">
        <v>126</v>
      </c>
      <c r="N8" s="920" t="s">
        <v>127</v>
      </c>
      <c r="O8" s="925" t="s">
        <v>125</v>
      </c>
      <c r="P8" s="955" t="s">
        <v>126</v>
      </c>
      <c r="Q8" s="948" t="s">
        <v>130</v>
      </c>
    </row>
    <row r="9" spans="2:19" ht="39.6" customHeight="1" thickBot="1" x14ac:dyDescent="0.2">
      <c r="B9" s="946"/>
      <c r="C9" s="947"/>
      <c r="D9" s="932"/>
      <c r="E9" s="951"/>
      <c r="F9" s="954"/>
      <c r="G9" s="953"/>
      <c r="H9" s="928"/>
      <c r="I9" s="930"/>
      <c r="J9" s="913"/>
      <c r="K9" s="915"/>
      <c r="L9" s="917"/>
      <c r="M9" s="919"/>
      <c r="N9" s="921"/>
      <c r="O9" s="926"/>
      <c r="P9" s="956"/>
      <c r="Q9" s="949"/>
      <c r="R9" s="44"/>
    </row>
    <row r="10" spans="2:19" ht="32.450000000000003" customHeight="1" x14ac:dyDescent="0.15">
      <c r="B10" s="426">
        <v>1</v>
      </c>
      <c r="C10" s="427">
        <f>IF('4-1.労働時間延長メニューメイン-1'!$C15="","",'4-1.労働時間延長メニューメイン-1'!$C15)</f>
        <v>1040</v>
      </c>
      <c r="D10" s="428">
        <f>IF($D$2="","",'4-1.労働時間延長メニューメイン-1'!$K15)</f>
        <v>1108571.4285714286</v>
      </c>
      <c r="E10" s="429">
        <f>IF($D$2="","",'4-1.労働時間延長メニューメイン-1'!$AE15)</f>
        <v>550000</v>
      </c>
      <c r="F10" s="430">
        <f>IF($D$2="","",$D10-$E10)</f>
        <v>558571.42857142864</v>
      </c>
      <c r="G10" s="431">
        <f>IF($D$2="","",IF($F10-430000&lt;=0,0,$F10-430000))</f>
        <v>128571.42857142864</v>
      </c>
      <c r="H10" s="432">
        <f>IF($D$2="","",ROUNDDOWN($G10*$I$5,0))</f>
        <v>9514</v>
      </c>
      <c r="I10" s="433">
        <f>IF($D$2="","",$J$5)</f>
        <v>26600</v>
      </c>
      <c r="J10" s="433">
        <f>IF($D$2="","",$K$5)</f>
        <v>24500</v>
      </c>
      <c r="K10" s="434">
        <f>IF($D$2="","",ROUNDDOWN($G10*$L$5,0))</f>
        <v>3857</v>
      </c>
      <c r="L10" s="435">
        <f>IF($D$2="","",M$5)</f>
        <v>10200</v>
      </c>
      <c r="M10" s="435">
        <f>IF($D$2="","",$N$5)</f>
        <v>8200</v>
      </c>
      <c r="N10" s="436">
        <f>IF(AND($D$5&gt;=40,$D$5&lt;65),ROUNDDOWN($G10*$O$5,0),0)</f>
        <v>0</v>
      </c>
      <c r="O10" s="437">
        <f>IF(AND($D$5&gt;=40,$D$5&lt;65),$P$5,0)</f>
        <v>0</v>
      </c>
      <c r="P10" s="437">
        <f>$Q$5</f>
        <v>0</v>
      </c>
      <c r="Q10" s="438">
        <f>SUM($H10:$P10)</f>
        <v>82871</v>
      </c>
    </row>
    <row r="11" spans="2:19" ht="32.450000000000003" customHeight="1" x14ac:dyDescent="0.15">
      <c r="B11" s="439">
        <v>2</v>
      </c>
      <c r="C11" s="440">
        <f>IF('4-1.労働時間延長メニューメイン-1'!$C16="","",'4-1.労働時間延長メニューメイン-1'!$C16)</f>
        <v>1040</v>
      </c>
      <c r="D11" s="441">
        <f>IF($D$2="","",'4-1.労働時間延長メニューメイン-1'!$K16)</f>
        <v>1162800</v>
      </c>
      <c r="E11" s="442">
        <f>IF($D$2="","",'4-1.労働時間延長メニューメイン-1'!$AE16)</f>
        <v>550000</v>
      </c>
      <c r="F11" s="443">
        <f t="shared" ref="F11:F39" si="0">IF($D$2="","",$D11-$E11)</f>
        <v>612800</v>
      </c>
      <c r="G11" s="444">
        <f t="shared" ref="G11:G39" si="1">IF($D$2="","",IF($F11-430000&lt;=0,0,$F11-430000))</f>
        <v>182800</v>
      </c>
      <c r="H11" s="445">
        <f t="shared" ref="H11:H39" si="2">IF($D$2="","",ROUNDDOWN($G11*$I$5,0))</f>
        <v>13527</v>
      </c>
      <c r="I11" s="445">
        <f t="shared" ref="I11:I39" si="3">IF($D$2="","",$J$5)</f>
        <v>26600</v>
      </c>
      <c r="J11" s="445">
        <f t="shared" ref="J11:J39" si="4">IF($D$2="","",$K$5)</f>
        <v>24500</v>
      </c>
      <c r="K11" s="446">
        <f t="shared" ref="K11:K39" si="5">IF($D$2="","",ROUNDDOWN($G11*$L$5,0))</f>
        <v>5484</v>
      </c>
      <c r="L11" s="447">
        <f t="shared" ref="L11:L39" si="6">IF($D$2="","",M$5)</f>
        <v>10200</v>
      </c>
      <c r="M11" s="447">
        <f t="shared" ref="M11:M39" si="7">IF($D$2="","",$N$5)</f>
        <v>8200</v>
      </c>
      <c r="N11" s="448">
        <f t="shared" ref="N11:N39" si="8">IF(AND($D$5&gt;=40,$D$5&lt;65),ROUNDDOWN($G11*$O$5,0),0)</f>
        <v>0</v>
      </c>
      <c r="O11" s="449">
        <f t="shared" ref="O11:O39" si="9">IF(AND($D$5&gt;=40,$D$5&lt;65),$P$5,0)</f>
        <v>0</v>
      </c>
      <c r="P11" s="449">
        <f t="shared" ref="P11:P39" si="10">$Q$5</f>
        <v>0</v>
      </c>
      <c r="Q11" s="450">
        <f t="shared" ref="Q11:Q39" si="11">SUM($H11:$P11)</f>
        <v>88511</v>
      </c>
    </row>
    <row r="12" spans="2:19" ht="32.450000000000003" customHeight="1" x14ac:dyDescent="0.15">
      <c r="B12" s="439">
        <v>3</v>
      </c>
      <c r="C12" s="440">
        <f>IF('4-1.労働時間延長メニューメイン-1'!$C17="","",'4-1.労働時間延長メニューメイン-1'!$C17)</f>
        <v>1040</v>
      </c>
      <c r="D12" s="441">
        <f>IF($D$2="","",'4-1.労働時間延長メニューメイン-1'!$K17)</f>
        <v>1217028.5714285714</v>
      </c>
      <c r="E12" s="442">
        <f>IF($D$2="","",'4-1.労働時間延長メニューメイン-1'!$AE17)</f>
        <v>550000</v>
      </c>
      <c r="F12" s="443">
        <f t="shared" si="0"/>
        <v>667028.57142857136</v>
      </c>
      <c r="G12" s="444">
        <f t="shared" si="1"/>
        <v>237028.57142857136</v>
      </c>
      <c r="H12" s="445">
        <f t="shared" si="2"/>
        <v>17540</v>
      </c>
      <c r="I12" s="445">
        <f t="shared" si="3"/>
        <v>26600</v>
      </c>
      <c r="J12" s="445">
        <f t="shared" si="4"/>
        <v>24500</v>
      </c>
      <c r="K12" s="446">
        <f t="shared" si="5"/>
        <v>7110</v>
      </c>
      <c r="L12" s="447">
        <f t="shared" si="6"/>
        <v>10200</v>
      </c>
      <c r="M12" s="447">
        <f t="shared" si="7"/>
        <v>8200</v>
      </c>
      <c r="N12" s="448">
        <f t="shared" si="8"/>
        <v>0</v>
      </c>
      <c r="O12" s="449">
        <f t="shared" si="9"/>
        <v>0</v>
      </c>
      <c r="P12" s="449">
        <f t="shared" si="10"/>
        <v>0</v>
      </c>
      <c r="Q12" s="450">
        <f t="shared" si="11"/>
        <v>94150</v>
      </c>
    </row>
    <row r="13" spans="2:19" ht="32.450000000000003" customHeight="1" x14ac:dyDescent="0.15">
      <c r="B13" s="439">
        <v>4</v>
      </c>
      <c r="C13" s="440">
        <f>IF('4-1.労働時間延長メニューメイン-1'!$C18="","",'4-1.労働時間延長メニューメイン-1'!$C18)</f>
        <v>1040</v>
      </c>
      <c r="D13" s="441">
        <f>IF($D$2="","",'4-1.労働時間延長メニューメイン-1'!$K18)</f>
        <v>1271257.1428571427</v>
      </c>
      <c r="E13" s="442">
        <f>IF($D$2="","",'4-1.労働時間延長メニューメイン-1'!$AE18)</f>
        <v>550000</v>
      </c>
      <c r="F13" s="443">
        <f t="shared" si="0"/>
        <v>721257.14285714272</v>
      </c>
      <c r="G13" s="444">
        <f t="shared" si="1"/>
        <v>291257.14285714272</v>
      </c>
      <c r="H13" s="445">
        <f t="shared" si="2"/>
        <v>21553</v>
      </c>
      <c r="I13" s="445">
        <f t="shared" si="3"/>
        <v>26600</v>
      </c>
      <c r="J13" s="445">
        <f t="shared" si="4"/>
        <v>24500</v>
      </c>
      <c r="K13" s="446">
        <f t="shared" si="5"/>
        <v>8737</v>
      </c>
      <c r="L13" s="447">
        <f t="shared" si="6"/>
        <v>10200</v>
      </c>
      <c r="M13" s="447">
        <f t="shared" si="7"/>
        <v>8200</v>
      </c>
      <c r="N13" s="448">
        <f t="shared" si="8"/>
        <v>0</v>
      </c>
      <c r="O13" s="449">
        <f t="shared" si="9"/>
        <v>0</v>
      </c>
      <c r="P13" s="449">
        <f t="shared" si="10"/>
        <v>0</v>
      </c>
      <c r="Q13" s="450">
        <f t="shared" si="11"/>
        <v>99790</v>
      </c>
    </row>
    <row r="14" spans="2:19" ht="32.450000000000003" customHeight="1" x14ac:dyDescent="0.15">
      <c r="B14" s="439">
        <v>5</v>
      </c>
      <c r="C14" s="440">
        <f>IF('4-1.労働時間延長メニューメイン-1'!$C19="","",'4-1.労働時間延長メニューメイン-1'!$C19)</f>
        <v>1040</v>
      </c>
      <c r="D14" s="441">
        <f>IF($D$2="","",'4-1.労働時間延長メニューメイン-1'!$K19)</f>
        <v>1325485.7142857141</v>
      </c>
      <c r="E14" s="442">
        <f>IF($D$2="","",'4-1.労働時間延長メニューメイン-1'!$AE19)</f>
        <v>550000</v>
      </c>
      <c r="F14" s="443">
        <f t="shared" si="0"/>
        <v>775485.71428571409</v>
      </c>
      <c r="G14" s="444">
        <f t="shared" si="1"/>
        <v>345485.71428571409</v>
      </c>
      <c r="H14" s="445">
        <f t="shared" si="2"/>
        <v>25565</v>
      </c>
      <c r="I14" s="445">
        <f t="shared" si="3"/>
        <v>26600</v>
      </c>
      <c r="J14" s="445">
        <f t="shared" si="4"/>
        <v>24500</v>
      </c>
      <c r="K14" s="446">
        <f t="shared" si="5"/>
        <v>10364</v>
      </c>
      <c r="L14" s="447">
        <f t="shared" si="6"/>
        <v>10200</v>
      </c>
      <c r="M14" s="447">
        <f t="shared" si="7"/>
        <v>8200</v>
      </c>
      <c r="N14" s="448">
        <f t="shared" si="8"/>
        <v>0</v>
      </c>
      <c r="O14" s="449">
        <f t="shared" si="9"/>
        <v>0</v>
      </c>
      <c r="P14" s="449">
        <f t="shared" si="10"/>
        <v>0</v>
      </c>
      <c r="Q14" s="450">
        <f t="shared" si="11"/>
        <v>105429</v>
      </c>
    </row>
    <row r="15" spans="2:19" ht="32.450000000000003" customHeight="1" x14ac:dyDescent="0.15">
      <c r="B15" s="439">
        <v>6</v>
      </c>
      <c r="C15" s="440">
        <f>IF('4-1.労働時間延長メニューメイン-1'!$C20="","",'4-1.労働時間延長メニューメイン-1'!$C20)</f>
        <v>1040</v>
      </c>
      <c r="D15" s="441">
        <f>IF($D$2="","",'4-1.労働時間延長メニューメイン-1'!$K20)</f>
        <v>1379714.2857142859</v>
      </c>
      <c r="E15" s="442">
        <f>IF($D$2="","",'4-1.労働時間延長メニューメイン-1'!$AE20)</f>
        <v>550000</v>
      </c>
      <c r="F15" s="443">
        <f t="shared" si="0"/>
        <v>829714.28571428591</v>
      </c>
      <c r="G15" s="444">
        <f t="shared" si="1"/>
        <v>399714.28571428591</v>
      </c>
      <c r="H15" s="445">
        <f t="shared" si="2"/>
        <v>29578</v>
      </c>
      <c r="I15" s="445">
        <f t="shared" si="3"/>
        <v>26600</v>
      </c>
      <c r="J15" s="445">
        <f t="shared" si="4"/>
        <v>24500</v>
      </c>
      <c r="K15" s="446">
        <f t="shared" si="5"/>
        <v>11991</v>
      </c>
      <c r="L15" s="447">
        <f t="shared" si="6"/>
        <v>10200</v>
      </c>
      <c r="M15" s="447">
        <f t="shared" si="7"/>
        <v>8200</v>
      </c>
      <c r="N15" s="448">
        <f t="shared" si="8"/>
        <v>0</v>
      </c>
      <c r="O15" s="449">
        <f t="shared" si="9"/>
        <v>0</v>
      </c>
      <c r="P15" s="449">
        <f t="shared" si="10"/>
        <v>0</v>
      </c>
      <c r="Q15" s="450">
        <f t="shared" si="11"/>
        <v>111069</v>
      </c>
    </row>
    <row r="16" spans="2:19" ht="32.450000000000003" customHeight="1" x14ac:dyDescent="0.15">
      <c r="B16" s="439">
        <v>7</v>
      </c>
      <c r="C16" s="440">
        <f>IF('4-1.労働時間延長メニューメイン-1'!$C21="","",'4-1.労働時間延長メニューメイン-1'!$C21)</f>
        <v>1040</v>
      </c>
      <c r="D16" s="441">
        <f>IF($D$2="","",'4-1.労働時間延長メニューメイン-1'!$K21)</f>
        <v>1433942.8571428573</v>
      </c>
      <c r="E16" s="442">
        <f>IF($D$2="","",'4-1.労働時間延長メニューメイン-1'!$AE21)</f>
        <v>550000</v>
      </c>
      <c r="F16" s="443">
        <f t="shared" si="0"/>
        <v>883942.85714285728</v>
      </c>
      <c r="G16" s="444">
        <f t="shared" si="1"/>
        <v>453942.85714285728</v>
      </c>
      <c r="H16" s="445">
        <f>IF($D$2="","",ROUNDDOWN($G16*$I$5,0))</f>
        <v>33591</v>
      </c>
      <c r="I16" s="445">
        <f>IF($D$2="","",$J$5)</f>
        <v>26600</v>
      </c>
      <c r="J16" s="445">
        <f t="shared" si="4"/>
        <v>24500</v>
      </c>
      <c r="K16" s="446">
        <f t="shared" si="5"/>
        <v>13618</v>
      </c>
      <c r="L16" s="447">
        <f t="shared" si="6"/>
        <v>10200</v>
      </c>
      <c r="M16" s="447">
        <f t="shared" si="7"/>
        <v>8200</v>
      </c>
      <c r="N16" s="448">
        <f t="shared" si="8"/>
        <v>0</v>
      </c>
      <c r="O16" s="449">
        <f t="shared" si="9"/>
        <v>0</v>
      </c>
      <c r="P16" s="449">
        <f t="shared" si="10"/>
        <v>0</v>
      </c>
      <c r="Q16" s="450">
        <f>SUM($H16:$P16)</f>
        <v>116709</v>
      </c>
    </row>
    <row r="17" spans="2:17" ht="32.450000000000003" customHeight="1" x14ac:dyDescent="0.15">
      <c r="B17" s="439">
        <v>8</v>
      </c>
      <c r="C17" s="440">
        <f>IF('4-1.労働時間延長メニューメイン-1'!$C22="","",'4-1.労働時間延長メニューメイン-1'!$C22)</f>
        <v>1040</v>
      </c>
      <c r="D17" s="441">
        <f>IF($D$2="","",'4-1.労働時間延長メニューメイン-1'!$K22)</f>
        <v>1488171.4285714286</v>
      </c>
      <c r="E17" s="442">
        <f>IF($D$2="","",'4-1.労働時間延長メニューメイン-1'!$AE22)</f>
        <v>550000</v>
      </c>
      <c r="F17" s="443">
        <f t="shared" si="0"/>
        <v>938171.42857142864</v>
      </c>
      <c r="G17" s="444">
        <f t="shared" si="1"/>
        <v>508171.42857142864</v>
      </c>
      <c r="H17" s="445">
        <f t="shared" si="2"/>
        <v>37604</v>
      </c>
      <c r="I17" s="445">
        <f t="shared" si="3"/>
        <v>26600</v>
      </c>
      <c r="J17" s="445">
        <f t="shared" si="4"/>
        <v>24500</v>
      </c>
      <c r="K17" s="446">
        <f t="shared" si="5"/>
        <v>15245</v>
      </c>
      <c r="L17" s="447">
        <f t="shared" si="6"/>
        <v>10200</v>
      </c>
      <c r="M17" s="447">
        <f t="shared" si="7"/>
        <v>8200</v>
      </c>
      <c r="N17" s="448">
        <f t="shared" si="8"/>
        <v>0</v>
      </c>
      <c r="O17" s="449">
        <f t="shared" si="9"/>
        <v>0</v>
      </c>
      <c r="P17" s="449">
        <f t="shared" si="10"/>
        <v>0</v>
      </c>
      <c r="Q17" s="450">
        <f t="shared" si="11"/>
        <v>122349</v>
      </c>
    </row>
    <row r="18" spans="2:17" ht="32.450000000000003" customHeight="1" x14ac:dyDescent="0.15">
      <c r="B18" s="439">
        <v>9</v>
      </c>
      <c r="C18" s="440">
        <f>IF('4-1.労働時間延長メニューメイン-1'!$C23="","",'4-1.労働時間延長メニューメイン-1'!$C23)</f>
        <v>1040</v>
      </c>
      <c r="D18" s="441">
        <f>IF($D$2="","",'4-1.労働時間延長メニューメイン-1'!$K23)</f>
        <v>1542400</v>
      </c>
      <c r="E18" s="442">
        <f>IF($D$2="","",'4-1.労働時間延長メニューメイン-1'!$AE23)</f>
        <v>550000</v>
      </c>
      <c r="F18" s="443">
        <f t="shared" si="0"/>
        <v>992400</v>
      </c>
      <c r="G18" s="444">
        <f t="shared" si="1"/>
        <v>562400</v>
      </c>
      <c r="H18" s="445">
        <f t="shared" si="2"/>
        <v>41617</v>
      </c>
      <c r="I18" s="445">
        <f t="shared" si="3"/>
        <v>26600</v>
      </c>
      <c r="J18" s="445">
        <f t="shared" si="4"/>
        <v>24500</v>
      </c>
      <c r="K18" s="446">
        <f t="shared" si="5"/>
        <v>16872</v>
      </c>
      <c r="L18" s="447">
        <f t="shared" si="6"/>
        <v>10200</v>
      </c>
      <c r="M18" s="447">
        <f t="shared" si="7"/>
        <v>8200</v>
      </c>
      <c r="N18" s="448">
        <f t="shared" si="8"/>
        <v>0</v>
      </c>
      <c r="O18" s="449">
        <f t="shared" si="9"/>
        <v>0</v>
      </c>
      <c r="P18" s="449">
        <f t="shared" si="10"/>
        <v>0</v>
      </c>
      <c r="Q18" s="450">
        <f t="shared" si="11"/>
        <v>127989</v>
      </c>
    </row>
    <row r="19" spans="2:17" ht="32.450000000000003" customHeight="1" x14ac:dyDescent="0.15">
      <c r="B19" s="439">
        <v>10</v>
      </c>
      <c r="C19" s="440">
        <f>IF('4-1.労働時間延長メニューメイン-1'!$C24="","",'4-1.労働時間延長メニューメイン-1'!$C24)</f>
        <v>1040</v>
      </c>
      <c r="D19" s="441">
        <f>IF($D$2="","",'4-1.労働時間延長メニューメイン-1'!$K24)</f>
        <v>1596628.5714285714</v>
      </c>
      <c r="E19" s="442">
        <f>IF($D$2="","",'4-1.労働時間延長メニューメイン-1'!$AE24)</f>
        <v>550000</v>
      </c>
      <c r="F19" s="443">
        <f t="shared" si="0"/>
        <v>1046628.5714285714</v>
      </c>
      <c r="G19" s="444">
        <f t="shared" si="1"/>
        <v>616628.57142857136</v>
      </c>
      <c r="H19" s="445">
        <f t="shared" si="2"/>
        <v>45630</v>
      </c>
      <c r="I19" s="445">
        <f t="shared" si="3"/>
        <v>26600</v>
      </c>
      <c r="J19" s="445">
        <f t="shared" si="4"/>
        <v>24500</v>
      </c>
      <c r="K19" s="446">
        <f t="shared" si="5"/>
        <v>18498</v>
      </c>
      <c r="L19" s="447">
        <f t="shared" si="6"/>
        <v>10200</v>
      </c>
      <c r="M19" s="447">
        <f t="shared" si="7"/>
        <v>8200</v>
      </c>
      <c r="N19" s="448">
        <f t="shared" si="8"/>
        <v>0</v>
      </c>
      <c r="O19" s="449">
        <f t="shared" si="9"/>
        <v>0</v>
      </c>
      <c r="P19" s="449">
        <f t="shared" si="10"/>
        <v>0</v>
      </c>
      <c r="Q19" s="450">
        <f t="shared" si="11"/>
        <v>133628</v>
      </c>
    </row>
    <row r="20" spans="2:17" ht="32.450000000000003" customHeight="1" x14ac:dyDescent="0.15">
      <c r="B20" s="439">
        <v>11</v>
      </c>
      <c r="C20" s="440">
        <f>IF('4-1.労働時間延長メニューメイン-1'!$C25="","",'4-1.労働時間延長メニューメイン-1'!$C25)</f>
        <v>1040</v>
      </c>
      <c r="D20" s="441">
        <f>IF($D$2="","",'4-1.労働時間延長メニューメイン-1'!$K25)</f>
        <v>1650857.1428571427</v>
      </c>
      <c r="E20" s="442">
        <f>IF($D$2="","",'4-1.労働時間延長メニューメイン-1'!$AE25)</f>
        <v>560342.85714285716</v>
      </c>
      <c r="F20" s="443">
        <f t="shared" si="0"/>
        <v>1090514.2857142854</v>
      </c>
      <c r="G20" s="444">
        <f t="shared" si="1"/>
        <v>660514.28571428545</v>
      </c>
      <c r="H20" s="445">
        <f t="shared" si="2"/>
        <v>48878</v>
      </c>
      <c r="I20" s="445">
        <f t="shared" si="3"/>
        <v>26600</v>
      </c>
      <c r="J20" s="445">
        <f t="shared" si="4"/>
        <v>24500</v>
      </c>
      <c r="K20" s="446">
        <f t="shared" si="5"/>
        <v>19815</v>
      </c>
      <c r="L20" s="447">
        <f t="shared" si="6"/>
        <v>10200</v>
      </c>
      <c r="M20" s="447">
        <f t="shared" si="7"/>
        <v>8200</v>
      </c>
      <c r="N20" s="448">
        <f t="shared" si="8"/>
        <v>0</v>
      </c>
      <c r="O20" s="449">
        <f t="shared" si="9"/>
        <v>0</v>
      </c>
      <c r="P20" s="449">
        <f t="shared" si="10"/>
        <v>0</v>
      </c>
      <c r="Q20" s="450">
        <f t="shared" si="11"/>
        <v>138193</v>
      </c>
    </row>
    <row r="21" spans="2:17" ht="32.450000000000003" customHeight="1" x14ac:dyDescent="0.15">
      <c r="B21" s="439">
        <v>12</v>
      </c>
      <c r="C21" s="440">
        <f>IF('4-1.労働時間延長メニューメイン-1'!$C26="","",'4-1.労働時間延長メニューメイン-1'!$C26)</f>
        <v>1040</v>
      </c>
      <c r="D21" s="441">
        <f>IF($D$2="","",'4-1.労働時間延長メニューメイン-1'!$K26)</f>
        <v>1705085.7142857141</v>
      </c>
      <c r="E21" s="442">
        <f>IF($D$2="","",'4-1.労働時間延長メニューメイン-1'!$AE26)</f>
        <v>582034.28571428568</v>
      </c>
      <c r="F21" s="443">
        <f t="shared" si="0"/>
        <v>1123051.4285714284</v>
      </c>
      <c r="G21" s="444">
        <f t="shared" si="1"/>
        <v>693051.42857142841</v>
      </c>
      <c r="H21" s="445">
        <f t="shared" si="2"/>
        <v>51285</v>
      </c>
      <c r="I21" s="445">
        <f t="shared" si="3"/>
        <v>26600</v>
      </c>
      <c r="J21" s="445">
        <f t="shared" si="4"/>
        <v>24500</v>
      </c>
      <c r="K21" s="446">
        <f t="shared" si="5"/>
        <v>20791</v>
      </c>
      <c r="L21" s="447">
        <f t="shared" si="6"/>
        <v>10200</v>
      </c>
      <c r="M21" s="447">
        <f t="shared" si="7"/>
        <v>8200</v>
      </c>
      <c r="N21" s="448">
        <f t="shared" si="8"/>
        <v>0</v>
      </c>
      <c r="O21" s="449">
        <f t="shared" si="9"/>
        <v>0</v>
      </c>
      <c r="P21" s="449">
        <f t="shared" si="10"/>
        <v>0</v>
      </c>
      <c r="Q21" s="450">
        <f t="shared" si="11"/>
        <v>141576</v>
      </c>
    </row>
    <row r="22" spans="2:17" ht="32.450000000000003" customHeight="1" x14ac:dyDescent="0.15">
      <c r="B22" s="439">
        <v>13</v>
      </c>
      <c r="C22" s="440">
        <f>IF('4-1.労働時間延長メニューメイン-1'!$C27="","",'4-1.労働時間延長メニューメイン-1'!$C27)</f>
        <v>1040</v>
      </c>
      <c r="D22" s="441">
        <f>IF($D$2="","",'4-1.労働時間延長メニューメイン-1'!$K27)</f>
        <v>1759314.2857142859</v>
      </c>
      <c r="E22" s="442">
        <f>IF($D$2="","",'4-1.労働時間延長メニューメイン-1'!$AE27)</f>
        <v>603725.71428571444</v>
      </c>
      <c r="F22" s="443">
        <f t="shared" si="0"/>
        <v>1155588.5714285714</v>
      </c>
      <c r="G22" s="444">
        <f t="shared" si="1"/>
        <v>725588.57142857136</v>
      </c>
      <c r="H22" s="445">
        <f t="shared" si="2"/>
        <v>53693</v>
      </c>
      <c r="I22" s="445">
        <f t="shared" si="3"/>
        <v>26600</v>
      </c>
      <c r="J22" s="445">
        <f t="shared" si="4"/>
        <v>24500</v>
      </c>
      <c r="K22" s="446">
        <f t="shared" si="5"/>
        <v>21767</v>
      </c>
      <c r="L22" s="447">
        <f t="shared" si="6"/>
        <v>10200</v>
      </c>
      <c r="M22" s="447">
        <f t="shared" si="7"/>
        <v>8200</v>
      </c>
      <c r="N22" s="448">
        <f t="shared" si="8"/>
        <v>0</v>
      </c>
      <c r="O22" s="449">
        <f t="shared" si="9"/>
        <v>0</v>
      </c>
      <c r="P22" s="449">
        <f t="shared" si="10"/>
        <v>0</v>
      </c>
      <c r="Q22" s="450">
        <f t="shared" si="11"/>
        <v>144960</v>
      </c>
    </row>
    <row r="23" spans="2:17" ht="32.450000000000003" customHeight="1" x14ac:dyDescent="0.15">
      <c r="B23" s="439">
        <v>14</v>
      </c>
      <c r="C23" s="440">
        <f>IF('4-1.労働時間延長メニューメイン-1'!$C28="","",'4-1.労働時間延長メニューメイン-1'!$C28)</f>
        <v>1040</v>
      </c>
      <c r="D23" s="441">
        <f>IF($D$2="","",'4-1.労働時間延長メニューメイン-1'!$K28)</f>
        <v>1813542.8571428573</v>
      </c>
      <c r="E23" s="442">
        <f>IF($D$2="","",'4-1.労働時間延長メニューメイン-1'!$AE28)</f>
        <v>624062.85714285716</v>
      </c>
      <c r="F23" s="443">
        <f t="shared" si="0"/>
        <v>1189480</v>
      </c>
      <c r="G23" s="444">
        <f t="shared" si="1"/>
        <v>759480</v>
      </c>
      <c r="H23" s="445">
        <f t="shared" si="2"/>
        <v>56201</v>
      </c>
      <c r="I23" s="445">
        <f t="shared" si="3"/>
        <v>26600</v>
      </c>
      <c r="J23" s="445">
        <f t="shared" si="4"/>
        <v>24500</v>
      </c>
      <c r="K23" s="446">
        <f t="shared" si="5"/>
        <v>22784</v>
      </c>
      <c r="L23" s="447">
        <f t="shared" si="6"/>
        <v>10200</v>
      </c>
      <c r="M23" s="447">
        <f t="shared" si="7"/>
        <v>8200</v>
      </c>
      <c r="N23" s="448">
        <f t="shared" si="8"/>
        <v>0</v>
      </c>
      <c r="O23" s="449">
        <f t="shared" si="9"/>
        <v>0</v>
      </c>
      <c r="P23" s="449">
        <f t="shared" si="10"/>
        <v>0</v>
      </c>
      <c r="Q23" s="450">
        <f t="shared" si="11"/>
        <v>148485</v>
      </c>
    </row>
    <row r="24" spans="2:17" ht="32.450000000000003" customHeight="1" x14ac:dyDescent="0.15">
      <c r="B24" s="439">
        <v>15</v>
      </c>
      <c r="C24" s="440">
        <f>IF('4-1.労働時間延長メニューメイン-1'!$C29="","",'4-1.労働時間延長メニューメイン-1'!$C29)</f>
        <v>1040</v>
      </c>
      <c r="D24" s="441">
        <f>IF($D$2="","",'4-1.労働時間延長メニューメイン-1'!$K29)</f>
        <v>1867771.4285714286</v>
      </c>
      <c r="E24" s="442">
        <f>IF($D$2="","",'4-1.労働時間延長メニューメイン-1'!$AE29)</f>
        <v>640331.42857142852</v>
      </c>
      <c r="F24" s="443">
        <f t="shared" si="0"/>
        <v>1227440</v>
      </c>
      <c r="G24" s="444">
        <f t="shared" si="1"/>
        <v>797440</v>
      </c>
      <c r="H24" s="445">
        <f t="shared" si="2"/>
        <v>59010</v>
      </c>
      <c r="I24" s="445">
        <f t="shared" si="3"/>
        <v>26600</v>
      </c>
      <c r="J24" s="445">
        <f t="shared" si="4"/>
        <v>24500</v>
      </c>
      <c r="K24" s="446">
        <f t="shared" si="5"/>
        <v>23923</v>
      </c>
      <c r="L24" s="447">
        <f t="shared" si="6"/>
        <v>10200</v>
      </c>
      <c r="M24" s="447">
        <f t="shared" si="7"/>
        <v>8200</v>
      </c>
      <c r="N24" s="448">
        <f t="shared" si="8"/>
        <v>0</v>
      </c>
      <c r="O24" s="449">
        <f t="shared" si="9"/>
        <v>0</v>
      </c>
      <c r="P24" s="449">
        <f t="shared" si="10"/>
        <v>0</v>
      </c>
      <c r="Q24" s="450">
        <f t="shared" si="11"/>
        <v>152433</v>
      </c>
    </row>
    <row r="25" spans="2:17" ht="32.450000000000003" customHeight="1" x14ac:dyDescent="0.15">
      <c r="B25" s="439">
        <v>16</v>
      </c>
      <c r="C25" s="440">
        <f>IF('4-1.労働時間延長メニューメイン-1'!$C30="","",'4-1.労働時間延長メニューメイン-1'!$C30)</f>
        <v>1040</v>
      </c>
      <c r="D25" s="441">
        <f>IF($D$2="","",'4-1.労働時間延長メニューメイン-1'!$K30)</f>
        <v>1922000</v>
      </c>
      <c r="E25" s="442">
        <f>IF($D$2="","",'4-1.労働時間延長メニューメイン-1'!$AE30)</f>
        <v>656600</v>
      </c>
      <c r="F25" s="443">
        <f t="shared" si="0"/>
        <v>1265400</v>
      </c>
      <c r="G25" s="444">
        <f t="shared" si="1"/>
        <v>835400</v>
      </c>
      <c r="H25" s="445">
        <f t="shared" si="2"/>
        <v>61819</v>
      </c>
      <c r="I25" s="445">
        <f t="shared" si="3"/>
        <v>26600</v>
      </c>
      <c r="J25" s="445">
        <f t="shared" si="4"/>
        <v>24500</v>
      </c>
      <c r="K25" s="446">
        <f t="shared" si="5"/>
        <v>25062</v>
      </c>
      <c r="L25" s="447">
        <f t="shared" si="6"/>
        <v>10200</v>
      </c>
      <c r="M25" s="447">
        <f t="shared" si="7"/>
        <v>8200</v>
      </c>
      <c r="N25" s="448">
        <f t="shared" si="8"/>
        <v>0</v>
      </c>
      <c r="O25" s="449">
        <f t="shared" si="9"/>
        <v>0</v>
      </c>
      <c r="P25" s="449">
        <f t="shared" si="10"/>
        <v>0</v>
      </c>
      <c r="Q25" s="450">
        <f t="shared" si="11"/>
        <v>156381</v>
      </c>
    </row>
    <row r="26" spans="2:17" ht="32.450000000000003" customHeight="1" x14ac:dyDescent="0.15">
      <c r="B26" s="439">
        <v>17</v>
      </c>
      <c r="C26" s="440">
        <f>IF('4-1.労働時間延長メニューメイン-1'!$C31="","",'4-1.労働時間延長メニューメイン-1'!$C31)</f>
        <v>1040</v>
      </c>
      <c r="D26" s="441">
        <f>IF($D$2="","",'4-1.労働時間延長メニューメイン-1'!$K31)</f>
        <v>1976228.5714285714</v>
      </c>
      <c r="E26" s="442">
        <f>IF($D$2="","",'4-1.労働時間延長メニューメイン-1'!$AE31)</f>
        <v>672868.57142857136</v>
      </c>
      <c r="F26" s="443">
        <f t="shared" si="0"/>
        <v>1303360</v>
      </c>
      <c r="G26" s="444">
        <f t="shared" si="1"/>
        <v>873360</v>
      </c>
      <c r="H26" s="445">
        <f t="shared" si="2"/>
        <v>64628</v>
      </c>
      <c r="I26" s="445">
        <f t="shared" si="3"/>
        <v>26600</v>
      </c>
      <c r="J26" s="445">
        <f t="shared" si="4"/>
        <v>24500</v>
      </c>
      <c r="K26" s="446">
        <f t="shared" si="5"/>
        <v>26200</v>
      </c>
      <c r="L26" s="447">
        <f t="shared" si="6"/>
        <v>10200</v>
      </c>
      <c r="M26" s="447">
        <f t="shared" si="7"/>
        <v>8200</v>
      </c>
      <c r="N26" s="448">
        <f t="shared" si="8"/>
        <v>0</v>
      </c>
      <c r="O26" s="449">
        <f t="shared" si="9"/>
        <v>0</v>
      </c>
      <c r="P26" s="449">
        <f t="shared" si="10"/>
        <v>0</v>
      </c>
      <c r="Q26" s="450">
        <f t="shared" si="11"/>
        <v>160328</v>
      </c>
    </row>
    <row r="27" spans="2:17" ht="32.450000000000003" customHeight="1" x14ac:dyDescent="0.15">
      <c r="B27" s="439">
        <v>18</v>
      </c>
      <c r="C27" s="440">
        <f>IF('4-1.労働時間延長メニューメイン-1'!$C32="","",'4-1.労働時間延長メニューメイン-1'!$C32)</f>
        <v>1040</v>
      </c>
      <c r="D27" s="441">
        <f>IF($D$2="","",'4-1.労働時間延長メニューメイン-1'!$K32)</f>
        <v>2030457.1428571427</v>
      </c>
      <c r="E27" s="442">
        <f>IF($D$2="","",'4-1.労働時間延長メニューメイン-1'!$AE32)</f>
        <v>689137.14285714284</v>
      </c>
      <c r="F27" s="443">
        <f t="shared" si="0"/>
        <v>1341320</v>
      </c>
      <c r="G27" s="444">
        <f t="shared" si="1"/>
        <v>911320</v>
      </c>
      <c r="H27" s="445">
        <f t="shared" si="2"/>
        <v>67437</v>
      </c>
      <c r="I27" s="445">
        <f t="shared" si="3"/>
        <v>26600</v>
      </c>
      <c r="J27" s="445">
        <f t="shared" si="4"/>
        <v>24500</v>
      </c>
      <c r="K27" s="446">
        <f t="shared" si="5"/>
        <v>27339</v>
      </c>
      <c r="L27" s="447">
        <f t="shared" si="6"/>
        <v>10200</v>
      </c>
      <c r="M27" s="447">
        <f t="shared" si="7"/>
        <v>8200</v>
      </c>
      <c r="N27" s="448">
        <f t="shared" si="8"/>
        <v>0</v>
      </c>
      <c r="O27" s="449">
        <f t="shared" si="9"/>
        <v>0</v>
      </c>
      <c r="P27" s="449">
        <f t="shared" si="10"/>
        <v>0</v>
      </c>
      <c r="Q27" s="450">
        <f t="shared" si="11"/>
        <v>164276</v>
      </c>
    </row>
    <row r="28" spans="2:17" ht="32.450000000000003" customHeight="1" x14ac:dyDescent="0.15">
      <c r="B28" s="439">
        <v>19</v>
      </c>
      <c r="C28" s="440">
        <f>IF('4-1.労働時間延長メニューメイン-1'!$C33="","",'4-1.労働時間延長メニューメイン-1'!$C33)</f>
        <v>1040</v>
      </c>
      <c r="D28" s="441">
        <f>IF($D$2="","",'4-1.労働時間延長メニューメイン-1'!$K33)</f>
        <v>2084685.7142857141</v>
      </c>
      <c r="E28" s="442">
        <f>IF($D$2="","",'4-1.労働時間延長メニューメイン-1'!$AE33)</f>
        <v>705405.7142857142</v>
      </c>
      <c r="F28" s="443">
        <f t="shared" si="0"/>
        <v>1379280</v>
      </c>
      <c r="G28" s="444">
        <f t="shared" si="1"/>
        <v>949280</v>
      </c>
      <c r="H28" s="445">
        <f t="shared" si="2"/>
        <v>70246</v>
      </c>
      <c r="I28" s="445">
        <f t="shared" si="3"/>
        <v>26600</v>
      </c>
      <c r="J28" s="445">
        <f t="shared" si="4"/>
        <v>24500</v>
      </c>
      <c r="K28" s="446">
        <f t="shared" si="5"/>
        <v>28478</v>
      </c>
      <c r="L28" s="447">
        <f t="shared" si="6"/>
        <v>10200</v>
      </c>
      <c r="M28" s="447">
        <f t="shared" si="7"/>
        <v>8200</v>
      </c>
      <c r="N28" s="448">
        <f t="shared" si="8"/>
        <v>0</v>
      </c>
      <c r="O28" s="449">
        <f t="shared" si="9"/>
        <v>0</v>
      </c>
      <c r="P28" s="449">
        <f t="shared" si="10"/>
        <v>0</v>
      </c>
      <c r="Q28" s="450">
        <f t="shared" si="11"/>
        <v>168224</v>
      </c>
    </row>
    <row r="29" spans="2:17" ht="32.450000000000003" customHeight="1" x14ac:dyDescent="0.15">
      <c r="B29" s="439">
        <v>20</v>
      </c>
      <c r="C29" s="440">
        <f>IF('4-1.労働時間延長メニューメイン-1'!$C34="","",'4-1.労働時間延長メニューメイン-1'!$C34)</f>
        <v>1040</v>
      </c>
      <c r="D29" s="441">
        <f>IF($D$2="","",'4-1.労働時間延長メニューメイン-1'!$K34)</f>
        <v>2138914.2857142859</v>
      </c>
      <c r="E29" s="442">
        <f>IF($D$2="","",'4-1.労働時間延長メニューメイン-1'!$AE34)</f>
        <v>721674.2857142858</v>
      </c>
      <c r="F29" s="443">
        <f t="shared" si="0"/>
        <v>1417240</v>
      </c>
      <c r="G29" s="444">
        <f t="shared" si="1"/>
        <v>987240</v>
      </c>
      <c r="H29" s="445">
        <f t="shared" si="2"/>
        <v>73055</v>
      </c>
      <c r="I29" s="445">
        <f t="shared" si="3"/>
        <v>26600</v>
      </c>
      <c r="J29" s="445">
        <f t="shared" si="4"/>
        <v>24500</v>
      </c>
      <c r="K29" s="446">
        <f t="shared" si="5"/>
        <v>29617</v>
      </c>
      <c r="L29" s="447">
        <f t="shared" si="6"/>
        <v>10200</v>
      </c>
      <c r="M29" s="447">
        <f t="shared" si="7"/>
        <v>8200</v>
      </c>
      <c r="N29" s="448">
        <f t="shared" si="8"/>
        <v>0</v>
      </c>
      <c r="O29" s="449">
        <f t="shared" si="9"/>
        <v>0</v>
      </c>
      <c r="P29" s="449">
        <f t="shared" si="10"/>
        <v>0</v>
      </c>
      <c r="Q29" s="450">
        <f t="shared" si="11"/>
        <v>172172</v>
      </c>
    </row>
    <row r="30" spans="2:17" ht="32.450000000000003" customHeight="1" x14ac:dyDescent="0.15">
      <c r="B30" s="439">
        <v>21</v>
      </c>
      <c r="C30" s="440" t="str">
        <f>IF('4-1.労働時間延長メニューメイン-1'!$C35="","",'4-1.労働時間延長メニューメイン-1'!$C35)</f>
        <v/>
      </c>
      <c r="D30" s="441">
        <f>IF($D$2="","",'4-1.労働時間延長メニューメイン-1'!$K35)</f>
        <v>0</v>
      </c>
      <c r="E30" s="442">
        <f>IF($D$2="","",'4-1.労働時間延長メニューメイン-1'!$AE35)</f>
        <v>550000</v>
      </c>
      <c r="F30" s="443">
        <f t="shared" si="0"/>
        <v>-550000</v>
      </c>
      <c r="G30" s="444">
        <f t="shared" si="1"/>
        <v>0</v>
      </c>
      <c r="H30" s="445">
        <f t="shared" si="2"/>
        <v>0</v>
      </c>
      <c r="I30" s="445">
        <f t="shared" si="3"/>
        <v>26600</v>
      </c>
      <c r="J30" s="445">
        <f t="shared" si="4"/>
        <v>24500</v>
      </c>
      <c r="K30" s="446">
        <f t="shared" si="5"/>
        <v>0</v>
      </c>
      <c r="L30" s="447">
        <f t="shared" si="6"/>
        <v>10200</v>
      </c>
      <c r="M30" s="447">
        <f t="shared" si="7"/>
        <v>8200</v>
      </c>
      <c r="N30" s="448">
        <f t="shared" si="8"/>
        <v>0</v>
      </c>
      <c r="O30" s="449">
        <f t="shared" si="9"/>
        <v>0</v>
      </c>
      <c r="P30" s="449">
        <f t="shared" si="10"/>
        <v>0</v>
      </c>
      <c r="Q30" s="450">
        <f t="shared" si="11"/>
        <v>69500</v>
      </c>
    </row>
    <row r="31" spans="2:17" ht="32.450000000000003" customHeight="1" x14ac:dyDescent="0.15">
      <c r="B31" s="439">
        <v>22</v>
      </c>
      <c r="C31" s="440" t="str">
        <f>IF('4-1.労働時間延長メニューメイン-1'!$C36="","",'4-1.労働時間延長メニューメイン-1'!$C36)</f>
        <v/>
      </c>
      <c r="D31" s="441">
        <f>IF($D$2="","",'4-1.労働時間延長メニューメイン-1'!$K36)</f>
        <v>0</v>
      </c>
      <c r="E31" s="442">
        <f>IF($D$2="","",'4-1.労働時間延長メニューメイン-1'!$AE36)</f>
        <v>550000</v>
      </c>
      <c r="F31" s="443">
        <f t="shared" si="0"/>
        <v>-550000</v>
      </c>
      <c r="G31" s="444">
        <f t="shared" si="1"/>
        <v>0</v>
      </c>
      <c r="H31" s="445">
        <f t="shared" si="2"/>
        <v>0</v>
      </c>
      <c r="I31" s="445">
        <f t="shared" si="3"/>
        <v>26600</v>
      </c>
      <c r="J31" s="445">
        <f t="shared" si="4"/>
        <v>24500</v>
      </c>
      <c r="K31" s="446">
        <f t="shared" si="5"/>
        <v>0</v>
      </c>
      <c r="L31" s="447">
        <f t="shared" si="6"/>
        <v>10200</v>
      </c>
      <c r="M31" s="447">
        <f t="shared" si="7"/>
        <v>8200</v>
      </c>
      <c r="N31" s="448">
        <f t="shared" si="8"/>
        <v>0</v>
      </c>
      <c r="O31" s="449">
        <f t="shared" si="9"/>
        <v>0</v>
      </c>
      <c r="P31" s="449">
        <f t="shared" si="10"/>
        <v>0</v>
      </c>
      <c r="Q31" s="450">
        <f t="shared" si="11"/>
        <v>69500</v>
      </c>
    </row>
    <row r="32" spans="2:17" ht="32.450000000000003" customHeight="1" x14ac:dyDescent="0.15">
      <c r="B32" s="439">
        <v>23</v>
      </c>
      <c r="C32" s="440" t="str">
        <f>IF('4-1.労働時間延長メニューメイン-1'!$C37="","",'4-1.労働時間延長メニューメイン-1'!$C37)</f>
        <v/>
      </c>
      <c r="D32" s="441">
        <f>IF($D$2="","",'4-1.労働時間延長メニューメイン-1'!$K37)</f>
        <v>0</v>
      </c>
      <c r="E32" s="442">
        <f>IF($D$2="","",'4-1.労働時間延長メニューメイン-1'!$AE37)</f>
        <v>550000</v>
      </c>
      <c r="F32" s="443">
        <f t="shared" si="0"/>
        <v>-550000</v>
      </c>
      <c r="G32" s="444">
        <f t="shared" si="1"/>
        <v>0</v>
      </c>
      <c r="H32" s="445">
        <f t="shared" si="2"/>
        <v>0</v>
      </c>
      <c r="I32" s="445">
        <f t="shared" si="3"/>
        <v>26600</v>
      </c>
      <c r="J32" s="445">
        <f t="shared" si="4"/>
        <v>24500</v>
      </c>
      <c r="K32" s="446">
        <f t="shared" si="5"/>
        <v>0</v>
      </c>
      <c r="L32" s="447">
        <f t="shared" si="6"/>
        <v>10200</v>
      </c>
      <c r="M32" s="447">
        <f t="shared" si="7"/>
        <v>8200</v>
      </c>
      <c r="N32" s="448">
        <f t="shared" si="8"/>
        <v>0</v>
      </c>
      <c r="O32" s="449">
        <f t="shared" si="9"/>
        <v>0</v>
      </c>
      <c r="P32" s="449">
        <f t="shared" si="10"/>
        <v>0</v>
      </c>
      <c r="Q32" s="450">
        <f t="shared" si="11"/>
        <v>69500</v>
      </c>
    </row>
    <row r="33" spans="2:17" ht="32.450000000000003" customHeight="1" x14ac:dyDescent="0.15">
      <c r="B33" s="439">
        <v>24</v>
      </c>
      <c r="C33" s="440" t="str">
        <f>IF('4-1.労働時間延長メニューメイン-1'!$C38="","",'4-1.労働時間延長メニューメイン-1'!$C38)</f>
        <v/>
      </c>
      <c r="D33" s="441">
        <f>IF($D$2="","",'4-1.労働時間延長メニューメイン-1'!$K38)</f>
        <v>0</v>
      </c>
      <c r="E33" s="442">
        <f>IF($D$2="","",'4-1.労働時間延長メニューメイン-1'!$AE38)</f>
        <v>550000</v>
      </c>
      <c r="F33" s="443">
        <f t="shared" si="0"/>
        <v>-550000</v>
      </c>
      <c r="G33" s="444">
        <f t="shared" si="1"/>
        <v>0</v>
      </c>
      <c r="H33" s="445">
        <f t="shared" si="2"/>
        <v>0</v>
      </c>
      <c r="I33" s="445">
        <f t="shared" si="3"/>
        <v>26600</v>
      </c>
      <c r="J33" s="445">
        <f t="shared" si="4"/>
        <v>24500</v>
      </c>
      <c r="K33" s="446">
        <f t="shared" si="5"/>
        <v>0</v>
      </c>
      <c r="L33" s="447">
        <f t="shared" si="6"/>
        <v>10200</v>
      </c>
      <c r="M33" s="447">
        <f t="shared" si="7"/>
        <v>8200</v>
      </c>
      <c r="N33" s="448">
        <f t="shared" si="8"/>
        <v>0</v>
      </c>
      <c r="O33" s="449">
        <f t="shared" si="9"/>
        <v>0</v>
      </c>
      <c r="P33" s="449">
        <f t="shared" si="10"/>
        <v>0</v>
      </c>
      <c r="Q33" s="450">
        <f t="shared" si="11"/>
        <v>69500</v>
      </c>
    </row>
    <row r="34" spans="2:17" ht="32.450000000000003" customHeight="1" x14ac:dyDescent="0.15">
      <c r="B34" s="439">
        <v>25</v>
      </c>
      <c r="C34" s="440" t="str">
        <f>IF('4-1.労働時間延長メニューメイン-1'!$C39="","",'4-1.労働時間延長メニューメイン-1'!$C39)</f>
        <v/>
      </c>
      <c r="D34" s="441">
        <f>IF($D$2="","",'4-1.労働時間延長メニューメイン-1'!$K39)</f>
        <v>0</v>
      </c>
      <c r="E34" s="442">
        <f>IF($D$2="","",'4-1.労働時間延長メニューメイン-1'!$AE39)</f>
        <v>550000</v>
      </c>
      <c r="F34" s="443">
        <f t="shared" si="0"/>
        <v>-550000</v>
      </c>
      <c r="G34" s="444">
        <f t="shared" si="1"/>
        <v>0</v>
      </c>
      <c r="H34" s="445">
        <f t="shared" si="2"/>
        <v>0</v>
      </c>
      <c r="I34" s="445">
        <f t="shared" si="3"/>
        <v>26600</v>
      </c>
      <c r="J34" s="445">
        <f t="shared" si="4"/>
        <v>24500</v>
      </c>
      <c r="K34" s="446">
        <f t="shared" si="5"/>
        <v>0</v>
      </c>
      <c r="L34" s="447">
        <f t="shared" si="6"/>
        <v>10200</v>
      </c>
      <c r="M34" s="447">
        <f t="shared" si="7"/>
        <v>8200</v>
      </c>
      <c r="N34" s="448">
        <f t="shared" si="8"/>
        <v>0</v>
      </c>
      <c r="O34" s="449">
        <f t="shared" si="9"/>
        <v>0</v>
      </c>
      <c r="P34" s="449">
        <f t="shared" si="10"/>
        <v>0</v>
      </c>
      <c r="Q34" s="450">
        <f t="shared" si="11"/>
        <v>69500</v>
      </c>
    </row>
    <row r="35" spans="2:17" ht="32.450000000000003" customHeight="1" x14ac:dyDescent="0.15">
      <c r="B35" s="439">
        <v>26</v>
      </c>
      <c r="C35" s="440" t="str">
        <f>IF('4-1.労働時間延長メニューメイン-1'!$C40="","",'4-1.労働時間延長メニューメイン-1'!$C40)</f>
        <v/>
      </c>
      <c r="D35" s="441">
        <f>IF($D$2="","",'4-1.労働時間延長メニューメイン-1'!$K40)</f>
        <v>0</v>
      </c>
      <c r="E35" s="442">
        <f>IF($D$2="","",'4-1.労働時間延長メニューメイン-1'!$AE40)</f>
        <v>550000</v>
      </c>
      <c r="F35" s="443">
        <f t="shared" si="0"/>
        <v>-550000</v>
      </c>
      <c r="G35" s="444">
        <f t="shared" si="1"/>
        <v>0</v>
      </c>
      <c r="H35" s="445">
        <f t="shared" si="2"/>
        <v>0</v>
      </c>
      <c r="I35" s="445">
        <f t="shared" si="3"/>
        <v>26600</v>
      </c>
      <c r="J35" s="445">
        <f t="shared" si="4"/>
        <v>24500</v>
      </c>
      <c r="K35" s="446">
        <f t="shared" si="5"/>
        <v>0</v>
      </c>
      <c r="L35" s="447">
        <f t="shared" si="6"/>
        <v>10200</v>
      </c>
      <c r="M35" s="447">
        <f t="shared" si="7"/>
        <v>8200</v>
      </c>
      <c r="N35" s="448">
        <f t="shared" si="8"/>
        <v>0</v>
      </c>
      <c r="O35" s="449">
        <f t="shared" si="9"/>
        <v>0</v>
      </c>
      <c r="P35" s="449">
        <f t="shared" si="10"/>
        <v>0</v>
      </c>
      <c r="Q35" s="450">
        <f t="shared" si="11"/>
        <v>69500</v>
      </c>
    </row>
    <row r="36" spans="2:17" ht="32.450000000000003" customHeight="1" x14ac:dyDescent="0.15">
      <c r="B36" s="439">
        <v>27</v>
      </c>
      <c r="C36" s="440" t="str">
        <f>IF('4-1.労働時間延長メニューメイン-1'!$C41="","",'4-1.労働時間延長メニューメイン-1'!$C41)</f>
        <v/>
      </c>
      <c r="D36" s="441">
        <f>IF($D$2="","",'4-1.労働時間延長メニューメイン-1'!$K41)</f>
        <v>0</v>
      </c>
      <c r="E36" s="442">
        <f>IF($D$2="","",'4-1.労働時間延長メニューメイン-1'!$AE41)</f>
        <v>550000</v>
      </c>
      <c r="F36" s="443">
        <f t="shared" si="0"/>
        <v>-550000</v>
      </c>
      <c r="G36" s="444">
        <f t="shared" si="1"/>
        <v>0</v>
      </c>
      <c r="H36" s="445">
        <f t="shared" si="2"/>
        <v>0</v>
      </c>
      <c r="I36" s="445">
        <f t="shared" si="3"/>
        <v>26600</v>
      </c>
      <c r="J36" s="445">
        <f t="shared" si="4"/>
        <v>24500</v>
      </c>
      <c r="K36" s="446">
        <f t="shared" si="5"/>
        <v>0</v>
      </c>
      <c r="L36" s="447">
        <f t="shared" si="6"/>
        <v>10200</v>
      </c>
      <c r="M36" s="447">
        <f t="shared" si="7"/>
        <v>8200</v>
      </c>
      <c r="N36" s="448">
        <f t="shared" si="8"/>
        <v>0</v>
      </c>
      <c r="O36" s="449">
        <f t="shared" si="9"/>
        <v>0</v>
      </c>
      <c r="P36" s="449">
        <f t="shared" si="10"/>
        <v>0</v>
      </c>
      <c r="Q36" s="450">
        <f t="shared" si="11"/>
        <v>69500</v>
      </c>
    </row>
    <row r="37" spans="2:17" ht="32.450000000000003" customHeight="1" x14ac:dyDescent="0.15">
      <c r="B37" s="439">
        <v>28</v>
      </c>
      <c r="C37" s="440" t="str">
        <f>IF('4-1.労働時間延長メニューメイン-1'!$C42="","",'4-1.労働時間延長メニューメイン-1'!$C42)</f>
        <v/>
      </c>
      <c r="D37" s="441">
        <f>IF($D$2="","",'4-1.労働時間延長メニューメイン-1'!$K42)</f>
        <v>0</v>
      </c>
      <c r="E37" s="442">
        <f>IF($D$2="","",'4-1.労働時間延長メニューメイン-1'!$AE42)</f>
        <v>550000</v>
      </c>
      <c r="F37" s="443">
        <f t="shared" si="0"/>
        <v>-550000</v>
      </c>
      <c r="G37" s="444">
        <f t="shared" si="1"/>
        <v>0</v>
      </c>
      <c r="H37" s="445">
        <f t="shared" si="2"/>
        <v>0</v>
      </c>
      <c r="I37" s="445">
        <f t="shared" si="3"/>
        <v>26600</v>
      </c>
      <c r="J37" s="445">
        <f t="shared" si="4"/>
        <v>24500</v>
      </c>
      <c r="K37" s="446">
        <f t="shared" si="5"/>
        <v>0</v>
      </c>
      <c r="L37" s="447">
        <f t="shared" si="6"/>
        <v>10200</v>
      </c>
      <c r="M37" s="447">
        <f t="shared" si="7"/>
        <v>8200</v>
      </c>
      <c r="N37" s="448">
        <f t="shared" si="8"/>
        <v>0</v>
      </c>
      <c r="O37" s="449">
        <f t="shared" si="9"/>
        <v>0</v>
      </c>
      <c r="P37" s="449">
        <f t="shared" si="10"/>
        <v>0</v>
      </c>
      <c r="Q37" s="450">
        <f t="shared" si="11"/>
        <v>69500</v>
      </c>
    </row>
    <row r="38" spans="2:17" ht="32.450000000000003" customHeight="1" x14ac:dyDescent="0.15">
      <c r="B38" s="439">
        <v>29</v>
      </c>
      <c r="C38" s="440" t="str">
        <f>IF('4-1.労働時間延長メニューメイン-1'!$C43="","",'4-1.労働時間延長メニューメイン-1'!$C43)</f>
        <v/>
      </c>
      <c r="D38" s="441">
        <f>IF($D$2="","",'4-1.労働時間延長メニューメイン-1'!$K43)</f>
        <v>0</v>
      </c>
      <c r="E38" s="442">
        <f>IF($D$2="","",'4-1.労働時間延長メニューメイン-1'!$AE43)</f>
        <v>550000</v>
      </c>
      <c r="F38" s="443">
        <f t="shared" si="0"/>
        <v>-550000</v>
      </c>
      <c r="G38" s="444">
        <f t="shared" si="1"/>
        <v>0</v>
      </c>
      <c r="H38" s="445">
        <f t="shared" si="2"/>
        <v>0</v>
      </c>
      <c r="I38" s="445">
        <f t="shared" si="3"/>
        <v>26600</v>
      </c>
      <c r="J38" s="445">
        <f t="shared" si="4"/>
        <v>24500</v>
      </c>
      <c r="K38" s="446">
        <f t="shared" si="5"/>
        <v>0</v>
      </c>
      <c r="L38" s="447">
        <f t="shared" si="6"/>
        <v>10200</v>
      </c>
      <c r="M38" s="447">
        <f t="shared" si="7"/>
        <v>8200</v>
      </c>
      <c r="N38" s="448">
        <f t="shared" si="8"/>
        <v>0</v>
      </c>
      <c r="O38" s="449">
        <f t="shared" si="9"/>
        <v>0</v>
      </c>
      <c r="P38" s="449">
        <f t="shared" si="10"/>
        <v>0</v>
      </c>
      <c r="Q38" s="450">
        <f t="shared" si="11"/>
        <v>69500</v>
      </c>
    </row>
    <row r="39" spans="2:17" ht="32.450000000000003" customHeight="1" x14ac:dyDescent="0.15">
      <c r="B39" s="439">
        <v>30</v>
      </c>
      <c r="C39" s="440" t="str">
        <f>IF('4-1.労働時間延長メニューメイン-1'!$C44="","",'4-1.労働時間延長メニューメイン-1'!$C44)</f>
        <v/>
      </c>
      <c r="D39" s="441">
        <f>IF($D$2="","",'4-1.労働時間延長メニューメイン-1'!$K44)</f>
        <v>0</v>
      </c>
      <c r="E39" s="442">
        <f>IF($D$2="","",'4-1.労働時間延長メニューメイン-1'!$AE44)</f>
        <v>550000</v>
      </c>
      <c r="F39" s="443">
        <f t="shared" si="0"/>
        <v>-550000</v>
      </c>
      <c r="G39" s="444">
        <f t="shared" si="1"/>
        <v>0</v>
      </c>
      <c r="H39" s="445">
        <f t="shared" si="2"/>
        <v>0</v>
      </c>
      <c r="I39" s="445">
        <f t="shared" si="3"/>
        <v>26600</v>
      </c>
      <c r="J39" s="445">
        <f t="shared" si="4"/>
        <v>24500</v>
      </c>
      <c r="K39" s="446">
        <f t="shared" si="5"/>
        <v>0</v>
      </c>
      <c r="L39" s="447">
        <f t="shared" si="6"/>
        <v>10200</v>
      </c>
      <c r="M39" s="447">
        <f t="shared" si="7"/>
        <v>8200</v>
      </c>
      <c r="N39" s="448">
        <f t="shared" si="8"/>
        <v>0</v>
      </c>
      <c r="O39" s="449">
        <f t="shared" si="9"/>
        <v>0</v>
      </c>
      <c r="P39" s="449">
        <f t="shared" si="10"/>
        <v>0</v>
      </c>
      <c r="Q39" s="450">
        <f t="shared" si="11"/>
        <v>69500</v>
      </c>
    </row>
    <row r="40" spans="2:17" x14ac:dyDescent="0.15">
      <c r="N40" s="42"/>
      <c r="O40" s="42"/>
    </row>
    <row r="41" spans="2:17" x14ac:dyDescent="0.15">
      <c r="N41" s="42"/>
      <c r="O41" s="42"/>
    </row>
    <row r="42" spans="2:17" x14ac:dyDescent="0.15">
      <c r="N42" s="42"/>
      <c r="O42" s="42"/>
    </row>
    <row r="43" spans="2:17" x14ac:dyDescent="0.15">
      <c r="N43" s="42"/>
      <c r="O43" s="42"/>
    </row>
    <row r="44" spans="2:17" x14ac:dyDescent="0.15">
      <c r="N44" s="42"/>
      <c r="O44" s="42"/>
    </row>
    <row r="45" spans="2:17" x14ac:dyDescent="0.15">
      <c r="N45" s="42"/>
      <c r="O45" s="42"/>
    </row>
    <row r="46" spans="2:17" x14ac:dyDescent="0.15">
      <c r="N46" s="42"/>
      <c r="O46" s="42"/>
    </row>
    <row r="47" spans="2:17" x14ac:dyDescent="0.15">
      <c r="N47" s="42"/>
      <c r="O47" s="42"/>
    </row>
    <row r="48" spans="2:17" x14ac:dyDescent="0.15">
      <c r="N48" s="42"/>
      <c r="O48" s="42"/>
    </row>
    <row r="49" spans="14:15" x14ac:dyDescent="0.15">
      <c r="N49" s="42"/>
      <c r="O49" s="42"/>
    </row>
    <row r="50" spans="14:15" x14ac:dyDescent="0.15">
      <c r="N50" s="42"/>
      <c r="O50" s="42"/>
    </row>
    <row r="51" spans="14:15" x14ac:dyDescent="0.15">
      <c r="N51" s="42"/>
      <c r="O51" s="42"/>
    </row>
    <row r="52" spans="14:15" x14ac:dyDescent="0.15">
      <c r="N52" s="42"/>
      <c r="O52" s="42"/>
    </row>
    <row r="53" spans="14:15" x14ac:dyDescent="0.15">
      <c r="N53" s="42"/>
      <c r="O53" s="42"/>
    </row>
    <row r="54" spans="14:15" x14ac:dyDescent="0.15">
      <c r="N54" s="42"/>
      <c r="O54" s="42"/>
    </row>
    <row r="55" spans="14:15" x14ac:dyDescent="0.15">
      <c r="N55" s="42"/>
      <c r="O55" s="42"/>
    </row>
    <row r="56" spans="14:15" x14ac:dyDescent="0.15">
      <c r="N56" s="42"/>
      <c r="O56" s="42"/>
    </row>
    <row r="57" spans="14:15" x14ac:dyDescent="0.15">
      <c r="N57" s="42"/>
      <c r="O57" s="42"/>
    </row>
    <row r="58" spans="14:15" x14ac:dyDescent="0.15">
      <c r="N58" s="42"/>
      <c r="O58" s="42"/>
    </row>
    <row r="59" spans="14:15" x14ac:dyDescent="0.15">
      <c r="N59" s="42"/>
      <c r="O59" s="42"/>
    </row>
    <row r="60" spans="14:15" x14ac:dyDescent="0.15">
      <c r="N60" s="42"/>
      <c r="O60" s="42"/>
    </row>
    <row r="61" spans="14:15" x14ac:dyDescent="0.15">
      <c r="N61" s="42"/>
      <c r="O61" s="42"/>
    </row>
    <row r="62" spans="14:15" x14ac:dyDescent="0.15">
      <c r="N62" s="42"/>
      <c r="O62" s="42"/>
    </row>
    <row r="63" spans="14:15" x14ac:dyDescent="0.15">
      <c r="N63" s="42"/>
      <c r="O63" s="42"/>
    </row>
    <row r="64" spans="14:15" x14ac:dyDescent="0.15">
      <c r="N64" s="42"/>
      <c r="O64" s="42"/>
    </row>
    <row r="65" spans="14:15" x14ac:dyDescent="0.15">
      <c r="N65" s="42"/>
      <c r="O65" s="42"/>
    </row>
    <row r="66" spans="14:15" x14ac:dyDescent="0.15">
      <c r="N66" s="42"/>
      <c r="O66" s="42"/>
    </row>
    <row r="67" spans="14:15" x14ac:dyDescent="0.15">
      <c r="N67" s="42"/>
      <c r="O67" s="42"/>
    </row>
    <row r="68" spans="14:15" x14ac:dyDescent="0.15">
      <c r="N68" s="42"/>
      <c r="O68" s="42"/>
    </row>
    <row r="69" spans="14:15" x14ac:dyDescent="0.15">
      <c r="N69" s="42"/>
      <c r="O69" s="42"/>
    </row>
    <row r="70" spans="14:15" x14ac:dyDescent="0.15">
      <c r="N70" s="42"/>
      <c r="O70" s="42"/>
    </row>
    <row r="71" spans="14:15" x14ac:dyDescent="0.15">
      <c r="N71" s="42"/>
      <c r="O71" s="42"/>
    </row>
    <row r="72" spans="14:15" x14ac:dyDescent="0.15">
      <c r="N72" s="42"/>
      <c r="O72" s="42"/>
    </row>
    <row r="73" spans="14:15" x14ac:dyDescent="0.15">
      <c r="N73" s="42"/>
      <c r="O73" s="42"/>
    </row>
    <row r="74" spans="14:15" x14ac:dyDescent="0.15">
      <c r="N74" s="42"/>
      <c r="O74" s="42"/>
    </row>
    <row r="75" spans="14:15" x14ac:dyDescent="0.15">
      <c r="N75" s="42"/>
      <c r="O75" s="42"/>
    </row>
    <row r="76" spans="14:15" x14ac:dyDescent="0.15">
      <c r="N76" s="42"/>
      <c r="O76" s="42"/>
    </row>
    <row r="77" spans="14:15" x14ac:dyDescent="0.15">
      <c r="N77" s="42"/>
      <c r="O77" s="42"/>
    </row>
    <row r="78" spans="14:15" x14ac:dyDescent="0.15">
      <c r="N78" s="42"/>
      <c r="O78" s="42"/>
    </row>
    <row r="79" spans="14:15" x14ac:dyDescent="0.15">
      <c r="N79" s="42"/>
      <c r="O79" s="42"/>
    </row>
    <row r="80" spans="14:15" x14ac:dyDescent="0.15">
      <c r="N80" s="42"/>
      <c r="O80" s="42"/>
    </row>
    <row r="81" spans="14:15" x14ac:dyDescent="0.15">
      <c r="N81" s="42"/>
      <c r="O81" s="42"/>
    </row>
    <row r="82" spans="14:15" x14ac:dyDescent="0.15">
      <c r="N82" s="42"/>
      <c r="O82" s="42"/>
    </row>
    <row r="83" spans="14:15" x14ac:dyDescent="0.15">
      <c r="N83" s="42"/>
      <c r="O83" s="42"/>
    </row>
    <row r="84" spans="14:15" x14ac:dyDescent="0.15">
      <c r="N84" s="42"/>
      <c r="O84" s="42"/>
    </row>
    <row r="85" spans="14:15" x14ac:dyDescent="0.15">
      <c r="N85" s="42"/>
      <c r="O85" s="42"/>
    </row>
    <row r="86" spans="14:15" x14ac:dyDescent="0.15">
      <c r="N86" s="42"/>
      <c r="O86" s="42"/>
    </row>
    <row r="87" spans="14:15" x14ac:dyDescent="0.15">
      <c r="N87" s="42"/>
      <c r="O87" s="42"/>
    </row>
    <row r="88" spans="14:15" x14ac:dyDescent="0.15">
      <c r="N88" s="42"/>
      <c r="O88" s="42"/>
    </row>
    <row r="89" spans="14:15" x14ac:dyDescent="0.15">
      <c r="N89" s="42"/>
      <c r="O89" s="42"/>
    </row>
    <row r="90" spans="14:15" x14ac:dyDescent="0.15">
      <c r="N90" s="42"/>
      <c r="O90" s="42"/>
    </row>
    <row r="91" spans="14:15" x14ac:dyDescent="0.15">
      <c r="N91" s="42"/>
      <c r="O91" s="42"/>
    </row>
    <row r="92" spans="14:15" x14ac:dyDescent="0.15">
      <c r="N92" s="42"/>
      <c r="O92" s="42"/>
    </row>
    <row r="93" spans="14:15" x14ac:dyDescent="0.15">
      <c r="N93" s="42"/>
      <c r="O93" s="42"/>
    </row>
    <row r="94" spans="14:15" x14ac:dyDescent="0.15">
      <c r="N94" s="42"/>
      <c r="O94" s="42"/>
    </row>
    <row r="95" spans="14:15" x14ac:dyDescent="0.15">
      <c r="N95" s="42"/>
      <c r="O95" s="42"/>
    </row>
    <row r="96" spans="14:15" x14ac:dyDescent="0.15">
      <c r="N96" s="42"/>
      <c r="O96" s="42"/>
    </row>
    <row r="97" spans="14:15" x14ac:dyDescent="0.15">
      <c r="N97" s="42"/>
      <c r="O97" s="42"/>
    </row>
    <row r="98" spans="14:15" x14ac:dyDescent="0.15">
      <c r="N98" s="42"/>
      <c r="O98" s="42"/>
    </row>
    <row r="99" spans="14:15" x14ac:dyDescent="0.15">
      <c r="N99" s="42"/>
      <c r="O99" s="42"/>
    </row>
    <row r="100" spans="14:15" x14ac:dyDescent="0.15">
      <c r="N100" s="42"/>
      <c r="O100" s="42"/>
    </row>
    <row r="101" spans="14:15" x14ac:dyDescent="0.15">
      <c r="N101" s="42"/>
      <c r="O101" s="42"/>
    </row>
    <row r="102" spans="14:15" x14ac:dyDescent="0.15">
      <c r="N102" s="42"/>
      <c r="O102" s="42"/>
    </row>
    <row r="103" spans="14:15" x14ac:dyDescent="0.15">
      <c r="N103" s="42"/>
      <c r="O103" s="42"/>
    </row>
    <row r="104" spans="14:15" x14ac:dyDescent="0.15">
      <c r="N104" s="42"/>
      <c r="O104" s="42"/>
    </row>
    <row r="105" spans="14:15" x14ac:dyDescent="0.15">
      <c r="N105" s="42"/>
      <c r="O105" s="42"/>
    </row>
    <row r="106" spans="14:15" x14ac:dyDescent="0.15">
      <c r="N106" s="42"/>
      <c r="O106" s="42"/>
    </row>
    <row r="107" spans="14:15" x14ac:dyDescent="0.15">
      <c r="N107" s="42"/>
      <c r="O107" s="42"/>
    </row>
    <row r="108" spans="14:15" x14ac:dyDescent="0.15">
      <c r="N108" s="42"/>
      <c r="O108" s="42"/>
    </row>
    <row r="109" spans="14:15" x14ac:dyDescent="0.15">
      <c r="N109" s="42"/>
      <c r="O109" s="42"/>
    </row>
    <row r="110" spans="14:15" x14ac:dyDescent="0.15">
      <c r="N110" s="42"/>
      <c r="O110" s="42"/>
    </row>
    <row r="111" spans="14:15" x14ac:dyDescent="0.15">
      <c r="N111" s="42"/>
      <c r="O111" s="42"/>
    </row>
    <row r="112" spans="14:15" x14ac:dyDescent="0.15">
      <c r="N112" s="42"/>
      <c r="O112" s="42"/>
    </row>
    <row r="113" spans="14:15" x14ac:dyDescent="0.15">
      <c r="N113" s="42"/>
      <c r="O113" s="42"/>
    </row>
    <row r="114" spans="14:15" x14ac:dyDescent="0.15">
      <c r="N114" s="42"/>
      <c r="O114" s="42"/>
    </row>
    <row r="115" spans="14:15" x14ac:dyDescent="0.15">
      <c r="N115" s="42"/>
      <c r="O115" s="42"/>
    </row>
    <row r="116" spans="14:15" x14ac:dyDescent="0.15">
      <c r="N116" s="42"/>
      <c r="O116" s="42"/>
    </row>
    <row r="117" spans="14:15" x14ac:dyDescent="0.15">
      <c r="N117" s="42"/>
      <c r="O117" s="42"/>
    </row>
    <row r="118" spans="14:15" x14ac:dyDescent="0.15">
      <c r="N118" s="42"/>
      <c r="O118" s="42"/>
    </row>
    <row r="119" spans="14:15" x14ac:dyDescent="0.15">
      <c r="N119" s="42"/>
      <c r="O119" s="42"/>
    </row>
    <row r="120" spans="14:15" x14ac:dyDescent="0.15">
      <c r="N120" s="42"/>
      <c r="O120" s="42"/>
    </row>
    <row r="121" spans="14:15" x14ac:dyDescent="0.15">
      <c r="N121" s="42"/>
      <c r="O121" s="42"/>
    </row>
    <row r="122" spans="14:15" x14ac:dyDescent="0.15">
      <c r="N122" s="42"/>
      <c r="O122" s="42"/>
    </row>
    <row r="123" spans="14:15" x14ac:dyDescent="0.15">
      <c r="N123" s="42"/>
      <c r="O123" s="42"/>
    </row>
    <row r="124" spans="14:15" x14ac:dyDescent="0.15">
      <c r="N124" s="42"/>
      <c r="O124" s="42"/>
    </row>
    <row r="125" spans="14:15" x14ac:dyDescent="0.15">
      <c r="N125" s="42"/>
      <c r="O125" s="42"/>
    </row>
    <row r="126" spans="14:15" x14ac:dyDescent="0.15">
      <c r="N126" s="42"/>
      <c r="O126" s="42"/>
    </row>
    <row r="127" spans="14:15" x14ac:dyDescent="0.15">
      <c r="N127" s="42"/>
      <c r="O127" s="42"/>
    </row>
    <row r="128" spans="14:15" x14ac:dyDescent="0.15">
      <c r="N128" s="42"/>
      <c r="O128" s="42"/>
    </row>
    <row r="129" spans="14:15" x14ac:dyDescent="0.15">
      <c r="N129" s="42"/>
      <c r="O129" s="42"/>
    </row>
    <row r="130" spans="14:15" x14ac:dyDescent="0.15">
      <c r="N130" s="42"/>
      <c r="O130" s="42"/>
    </row>
    <row r="131" spans="14:15" x14ac:dyDescent="0.15">
      <c r="N131" s="42"/>
      <c r="O131" s="42"/>
    </row>
    <row r="132" spans="14:15" x14ac:dyDescent="0.15">
      <c r="N132" s="42"/>
      <c r="O132" s="42"/>
    </row>
    <row r="133" spans="14:15" x14ac:dyDescent="0.15">
      <c r="N133" s="42"/>
      <c r="O133" s="42"/>
    </row>
    <row r="134" spans="14:15" x14ac:dyDescent="0.15">
      <c r="N134" s="42"/>
      <c r="O134" s="42"/>
    </row>
    <row r="135" spans="14:15" x14ac:dyDescent="0.15">
      <c r="N135" s="42"/>
      <c r="O135" s="42"/>
    </row>
    <row r="136" spans="14:15" x14ac:dyDescent="0.15">
      <c r="N136" s="42"/>
      <c r="O136" s="42"/>
    </row>
    <row r="137" spans="14:15" x14ac:dyDescent="0.15">
      <c r="N137" s="42"/>
      <c r="O137" s="42"/>
    </row>
    <row r="138" spans="14:15" x14ac:dyDescent="0.15">
      <c r="N138" s="42"/>
      <c r="O138" s="42"/>
    </row>
    <row r="139" spans="14:15" x14ac:dyDescent="0.15">
      <c r="N139" s="42"/>
      <c r="O139" s="42"/>
    </row>
    <row r="140" spans="14:15" x14ac:dyDescent="0.15">
      <c r="N140" s="42"/>
      <c r="O140" s="42"/>
    </row>
    <row r="141" spans="14:15" x14ac:dyDescent="0.15">
      <c r="N141" s="42"/>
      <c r="O141" s="42"/>
    </row>
    <row r="142" spans="14:15" x14ac:dyDescent="0.15">
      <c r="N142" s="42"/>
      <c r="O142" s="42"/>
    </row>
    <row r="143" spans="14:15" x14ac:dyDescent="0.15">
      <c r="N143" s="42"/>
      <c r="O143" s="42"/>
    </row>
    <row r="144" spans="14:15" x14ac:dyDescent="0.15">
      <c r="N144" s="42"/>
      <c r="O144" s="42"/>
    </row>
    <row r="145" spans="14:15" x14ac:dyDescent="0.15">
      <c r="N145" s="42"/>
      <c r="O145" s="42"/>
    </row>
    <row r="146" spans="14:15" x14ac:dyDescent="0.15">
      <c r="N146" s="42"/>
      <c r="O146" s="42"/>
    </row>
    <row r="147" spans="14:15" x14ac:dyDescent="0.15">
      <c r="N147" s="42"/>
      <c r="O147" s="42"/>
    </row>
    <row r="148" spans="14:15" x14ac:dyDescent="0.15">
      <c r="N148" s="42"/>
      <c r="O148" s="42"/>
    </row>
    <row r="149" spans="14:15" x14ac:dyDescent="0.15">
      <c r="N149" s="42"/>
      <c r="O149" s="42"/>
    </row>
    <row r="150" spans="14:15" x14ac:dyDescent="0.15">
      <c r="N150" s="42"/>
      <c r="O150" s="42"/>
    </row>
    <row r="151" spans="14:15" x14ac:dyDescent="0.15">
      <c r="N151" s="42"/>
      <c r="O151" s="42"/>
    </row>
    <row r="152" spans="14:15" x14ac:dyDescent="0.15">
      <c r="N152" s="42"/>
      <c r="O152" s="42"/>
    </row>
    <row r="153" spans="14:15" x14ac:dyDescent="0.15">
      <c r="N153" s="42"/>
      <c r="O153" s="42"/>
    </row>
    <row r="154" spans="14:15" x14ac:dyDescent="0.15">
      <c r="N154" s="42"/>
      <c r="O154" s="42"/>
    </row>
    <row r="155" spans="14:15" x14ac:dyDescent="0.15">
      <c r="N155" s="42"/>
      <c r="O155" s="42"/>
    </row>
    <row r="156" spans="14:15" x14ac:dyDescent="0.15">
      <c r="N156" s="42"/>
      <c r="O156" s="42"/>
    </row>
    <row r="157" spans="14:15" x14ac:dyDescent="0.15">
      <c r="N157" s="42"/>
      <c r="O157" s="42"/>
    </row>
    <row r="158" spans="14:15" x14ac:dyDescent="0.15">
      <c r="N158" s="42"/>
      <c r="O158" s="42"/>
    </row>
    <row r="159" spans="14:15" x14ac:dyDescent="0.15">
      <c r="N159" s="42"/>
      <c r="O159" s="42"/>
    </row>
    <row r="160" spans="14:15" x14ac:dyDescent="0.15">
      <c r="N160" s="42"/>
      <c r="O160" s="42"/>
    </row>
    <row r="161" spans="14:15" x14ac:dyDescent="0.15">
      <c r="N161" s="42"/>
      <c r="O161" s="42"/>
    </row>
    <row r="162" spans="14:15" x14ac:dyDescent="0.15">
      <c r="N162" s="42"/>
      <c r="O162" s="42"/>
    </row>
    <row r="163" spans="14:15" x14ac:dyDescent="0.15">
      <c r="N163" s="42"/>
      <c r="O163" s="42"/>
    </row>
    <row r="164" spans="14:15" x14ac:dyDescent="0.15">
      <c r="N164" s="42"/>
      <c r="O164" s="42"/>
    </row>
    <row r="165" spans="14:15" x14ac:dyDescent="0.15">
      <c r="N165" s="42"/>
      <c r="O165" s="42"/>
    </row>
    <row r="166" spans="14:15" x14ac:dyDescent="0.15">
      <c r="N166" s="42"/>
      <c r="O166" s="42"/>
    </row>
    <row r="167" spans="14:15" x14ac:dyDescent="0.15">
      <c r="N167" s="42"/>
      <c r="O167" s="42"/>
    </row>
    <row r="168" spans="14:15" x14ac:dyDescent="0.15">
      <c r="N168" s="42"/>
      <c r="O168" s="42"/>
    </row>
    <row r="169" spans="14:15" x14ac:dyDescent="0.15">
      <c r="N169" s="42"/>
      <c r="O169" s="42"/>
    </row>
    <row r="170" spans="14:15" x14ac:dyDescent="0.15">
      <c r="N170" s="42"/>
      <c r="O170" s="42"/>
    </row>
    <row r="171" spans="14:15" x14ac:dyDescent="0.15">
      <c r="N171" s="42"/>
      <c r="O171" s="42"/>
    </row>
    <row r="172" spans="14:15" x14ac:dyDescent="0.15">
      <c r="N172" s="42"/>
      <c r="O172" s="42"/>
    </row>
    <row r="173" spans="14:15" x14ac:dyDescent="0.15">
      <c r="N173" s="42"/>
      <c r="O173" s="42"/>
    </row>
    <row r="174" spans="14:15" x14ac:dyDescent="0.15">
      <c r="N174" s="42"/>
      <c r="O174" s="42"/>
    </row>
    <row r="175" spans="14:15" x14ac:dyDescent="0.15">
      <c r="N175" s="42"/>
      <c r="O175" s="42"/>
    </row>
    <row r="176" spans="14:15" x14ac:dyDescent="0.15">
      <c r="N176" s="42"/>
      <c r="O176" s="42"/>
    </row>
    <row r="177" spans="14:15" x14ac:dyDescent="0.15">
      <c r="N177" s="42"/>
      <c r="O177" s="42"/>
    </row>
    <row r="178" spans="14:15" x14ac:dyDescent="0.15">
      <c r="N178" s="42"/>
      <c r="O178" s="42"/>
    </row>
    <row r="179" spans="14:15" x14ac:dyDescent="0.15">
      <c r="N179" s="42"/>
      <c r="O179" s="42"/>
    </row>
    <row r="180" spans="14:15" x14ac:dyDescent="0.15">
      <c r="N180" s="42"/>
      <c r="O180" s="42"/>
    </row>
    <row r="181" spans="14:15" x14ac:dyDescent="0.15">
      <c r="N181" s="42"/>
      <c r="O181" s="42"/>
    </row>
    <row r="182" spans="14:15" x14ac:dyDescent="0.15">
      <c r="N182" s="42"/>
      <c r="O182" s="42"/>
    </row>
    <row r="183" spans="14:15" x14ac:dyDescent="0.15">
      <c r="N183" s="42"/>
      <c r="O183" s="42"/>
    </row>
    <row r="184" spans="14:15" x14ac:dyDescent="0.15">
      <c r="N184" s="42"/>
      <c r="O184" s="42"/>
    </row>
    <row r="185" spans="14:15" x14ac:dyDescent="0.15">
      <c r="N185" s="42"/>
      <c r="O185" s="42"/>
    </row>
    <row r="186" spans="14:15" x14ac:dyDescent="0.15">
      <c r="N186" s="42"/>
      <c r="O186" s="42"/>
    </row>
    <row r="187" spans="14:15" x14ac:dyDescent="0.15">
      <c r="N187" s="42"/>
      <c r="O187" s="42"/>
    </row>
    <row r="188" spans="14:15" x14ac:dyDescent="0.15">
      <c r="N188" s="42"/>
      <c r="O188" s="42"/>
    </row>
    <row r="189" spans="14:15" x14ac:dyDescent="0.15">
      <c r="N189" s="42"/>
      <c r="O189" s="42"/>
    </row>
    <row r="190" spans="14:15" x14ac:dyDescent="0.15">
      <c r="N190" s="42"/>
      <c r="O190" s="42"/>
    </row>
    <row r="191" spans="14:15" x14ac:dyDescent="0.15">
      <c r="N191" s="42"/>
      <c r="O191" s="42"/>
    </row>
    <row r="192" spans="14:15" x14ac:dyDescent="0.15">
      <c r="N192" s="42"/>
      <c r="O192" s="42"/>
    </row>
    <row r="193" spans="14:15" x14ac:dyDescent="0.15">
      <c r="N193" s="42"/>
      <c r="O193" s="42"/>
    </row>
    <row r="194" spans="14:15" x14ac:dyDescent="0.15">
      <c r="N194" s="42"/>
      <c r="O194" s="42"/>
    </row>
    <row r="195" spans="14:15" x14ac:dyDescent="0.15">
      <c r="N195" s="42"/>
      <c r="O195" s="42"/>
    </row>
    <row r="196" spans="14:15" x14ac:dyDescent="0.15">
      <c r="N196" s="42"/>
      <c r="O196" s="42"/>
    </row>
    <row r="197" spans="14:15" x14ac:dyDescent="0.15">
      <c r="N197" s="42"/>
      <c r="O197" s="42"/>
    </row>
    <row r="198" spans="14:15" x14ac:dyDescent="0.15">
      <c r="N198" s="42"/>
      <c r="O198" s="42"/>
    </row>
    <row r="199" spans="14:15" x14ac:dyDescent="0.15">
      <c r="N199" s="42"/>
      <c r="O199" s="42"/>
    </row>
    <row r="200" spans="14:15" x14ac:dyDescent="0.15">
      <c r="N200" s="42"/>
      <c r="O200" s="42"/>
    </row>
    <row r="201" spans="14:15" x14ac:dyDescent="0.15">
      <c r="N201" s="42"/>
      <c r="O201" s="42"/>
    </row>
    <row r="202" spans="14:15" x14ac:dyDescent="0.15">
      <c r="N202" s="42"/>
      <c r="O202" s="42"/>
    </row>
    <row r="203" spans="14:15" x14ac:dyDescent="0.15">
      <c r="N203" s="42"/>
      <c r="O203" s="42"/>
    </row>
    <row r="204" spans="14:15" x14ac:dyDescent="0.15">
      <c r="N204" s="42"/>
      <c r="O204" s="42"/>
    </row>
    <row r="205" spans="14:15" x14ac:dyDescent="0.15">
      <c r="N205" s="42"/>
      <c r="O205" s="42"/>
    </row>
    <row r="206" spans="14:15" x14ac:dyDescent="0.15">
      <c r="N206" s="42"/>
      <c r="O206" s="42"/>
    </row>
    <row r="207" spans="14:15" x14ac:dyDescent="0.15">
      <c r="N207" s="42"/>
      <c r="O207" s="42"/>
    </row>
    <row r="208" spans="14:15" x14ac:dyDescent="0.15">
      <c r="N208" s="42"/>
      <c r="O208" s="42"/>
    </row>
    <row r="209" spans="14:15" x14ac:dyDescent="0.15">
      <c r="N209" s="42"/>
      <c r="O209" s="42"/>
    </row>
    <row r="210" spans="14:15" x14ac:dyDescent="0.15">
      <c r="N210" s="42"/>
      <c r="O210" s="42"/>
    </row>
    <row r="211" spans="14:15" x14ac:dyDescent="0.15">
      <c r="N211" s="42"/>
      <c r="O211" s="42"/>
    </row>
    <row r="212" spans="14:15" x14ac:dyDescent="0.15">
      <c r="N212" s="42"/>
      <c r="O212" s="42"/>
    </row>
    <row r="213" spans="14:15" x14ac:dyDescent="0.15">
      <c r="N213" s="42"/>
      <c r="O213" s="42"/>
    </row>
    <row r="214" spans="14:15" x14ac:dyDescent="0.15">
      <c r="N214" s="42"/>
      <c r="O214" s="42"/>
    </row>
    <row r="215" spans="14:15" x14ac:dyDescent="0.15">
      <c r="N215" s="42"/>
      <c r="O215" s="42"/>
    </row>
    <row r="216" spans="14:15" x14ac:dyDescent="0.15">
      <c r="N216" s="42"/>
      <c r="O216" s="42"/>
    </row>
    <row r="217" spans="14:15" x14ac:dyDescent="0.15">
      <c r="N217" s="42"/>
      <c r="O217" s="42"/>
    </row>
    <row r="218" spans="14:15" x14ac:dyDescent="0.15">
      <c r="N218" s="42"/>
      <c r="O218" s="42"/>
    </row>
    <row r="219" spans="14:15" x14ac:dyDescent="0.15">
      <c r="N219" s="42"/>
      <c r="O219" s="42"/>
    </row>
    <row r="220" spans="14:15" x14ac:dyDescent="0.15">
      <c r="N220" s="42"/>
      <c r="O220" s="42"/>
    </row>
    <row r="221" spans="14:15" x14ac:dyDescent="0.15">
      <c r="N221" s="42"/>
      <c r="O221" s="42"/>
    </row>
    <row r="222" spans="14:15" x14ac:dyDescent="0.15">
      <c r="N222" s="42"/>
      <c r="O222" s="42"/>
    </row>
    <row r="223" spans="14:15" x14ac:dyDescent="0.15">
      <c r="N223" s="42"/>
      <c r="O223" s="42"/>
    </row>
    <row r="224" spans="14:15" x14ac:dyDescent="0.15">
      <c r="N224" s="42"/>
      <c r="O224" s="42"/>
    </row>
    <row r="225" spans="14:15" x14ac:dyDescent="0.15">
      <c r="N225" s="42"/>
      <c r="O225" s="42"/>
    </row>
    <row r="226" spans="14:15" x14ac:dyDescent="0.15">
      <c r="N226" s="42"/>
      <c r="O226" s="42"/>
    </row>
    <row r="227" spans="14:15" x14ac:dyDescent="0.15">
      <c r="N227" s="42"/>
      <c r="O227" s="42"/>
    </row>
    <row r="228" spans="14:15" x14ac:dyDescent="0.15">
      <c r="N228" s="42"/>
      <c r="O228" s="42"/>
    </row>
    <row r="229" spans="14:15" x14ac:dyDescent="0.15">
      <c r="N229" s="42"/>
      <c r="O229" s="42"/>
    </row>
    <row r="230" spans="14:15" x14ac:dyDescent="0.15">
      <c r="N230" s="42"/>
      <c r="O230" s="42"/>
    </row>
    <row r="231" spans="14:15" x14ac:dyDescent="0.15">
      <c r="N231" s="42"/>
      <c r="O231" s="42"/>
    </row>
    <row r="232" spans="14:15" x14ac:dyDescent="0.15">
      <c r="N232" s="42"/>
      <c r="O232" s="42"/>
    </row>
    <row r="233" spans="14:15" x14ac:dyDescent="0.15">
      <c r="N233" s="42"/>
      <c r="O233" s="42"/>
    </row>
    <row r="234" spans="14:15" x14ac:dyDescent="0.15">
      <c r="N234" s="42"/>
      <c r="O234" s="42"/>
    </row>
    <row r="235" spans="14:15" x14ac:dyDescent="0.15">
      <c r="N235" s="42"/>
      <c r="O235" s="42"/>
    </row>
    <row r="236" spans="14:15" x14ac:dyDescent="0.15">
      <c r="N236" s="42"/>
      <c r="O236" s="42"/>
    </row>
    <row r="237" spans="14:15" x14ac:dyDescent="0.15">
      <c r="N237" s="42"/>
      <c r="O237" s="42"/>
    </row>
    <row r="238" spans="14:15" x14ac:dyDescent="0.15">
      <c r="N238" s="42"/>
      <c r="O238" s="42"/>
    </row>
    <row r="239" spans="14:15" x14ac:dyDescent="0.15">
      <c r="N239" s="42"/>
      <c r="O239" s="42"/>
    </row>
    <row r="240" spans="14:15" x14ac:dyDescent="0.15">
      <c r="N240" s="42"/>
      <c r="O240" s="42"/>
    </row>
    <row r="241" spans="14:15" x14ac:dyDescent="0.15">
      <c r="N241" s="42"/>
      <c r="O241" s="42"/>
    </row>
    <row r="242" spans="14:15" x14ac:dyDescent="0.15">
      <c r="N242" s="42"/>
      <c r="O242" s="42"/>
    </row>
    <row r="243" spans="14:15" x14ac:dyDescent="0.15">
      <c r="N243" s="42"/>
      <c r="O243" s="42"/>
    </row>
    <row r="244" spans="14:15" x14ac:dyDescent="0.15">
      <c r="N244" s="42"/>
      <c r="O244" s="42"/>
    </row>
    <row r="245" spans="14:15" x14ac:dyDescent="0.15">
      <c r="N245" s="42"/>
      <c r="O245" s="42"/>
    </row>
    <row r="246" spans="14:15" x14ac:dyDescent="0.15">
      <c r="N246" s="42"/>
      <c r="O246" s="42"/>
    </row>
    <row r="247" spans="14:15" x14ac:dyDescent="0.15">
      <c r="N247" s="42"/>
      <c r="O247" s="42"/>
    </row>
    <row r="248" spans="14:15" x14ac:dyDescent="0.15">
      <c r="N248" s="42"/>
      <c r="O248" s="42"/>
    </row>
    <row r="249" spans="14:15" x14ac:dyDescent="0.15">
      <c r="N249" s="42"/>
      <c r="O249" s="42"/>
    </row>
    <row r="250" spans="14:15" x14ac:dyDescent="0.15">
      <c r="N250" s="42"/>
      <c r="O250" s="42"/>
    </row>
    <row r="251" spans="14:15" x14ac:dyDescent="0.15">
      <c r="N251" s="42"/>
      <c r="O251" s="42"/>
    </row>
    <row r="252" spans="14:15" x14ac:dyDescent="0.15">
      <c r="N252" s="42"/>
      <c r="O252" s="42"/>
    </row>
    <row r="253" spans="14:15" x14ac:dyDescent="0.15">
      <c r="N253" s="42"/>
      <c r="O253" s="42"/>
    </row>
    <row r="254" spans="14:15" x14ac:dyDescent="0.15">
      <c r="N254" s="42"/>
      <c r="O254" s="42"/>
    </row>
    <row r="255" spans="14:15" x14ac:dyDescent="0.15">
      <c r="N255" s="42"/>
      <c r="O255" s="42"/>
    </row>
    <row r="256" spans="14:15" x14ac:dyDescent="0.15">
      <c r="N256" s="42"/>
      <c r="O256" s="42"/>
    </row>
    <row r="257" spans="14:15" x14ac:dyDescent="0.15">
      <c r="N257" s="42"/>
      <c r="O257" s="42"/>
    </row>
    <row r="258" spans="14:15" x14ac:dyDescent="0.15">
      <c r="N258" s="42"/>
      <c r="O258" s="42"/>
    </row>
    <row r="259" spans="14:15" x14ac:dyDescent="0.15">
      <c r="N259" s="42"/>
      <c r="O259" s="42"/>
    </row>
    <row r="260" spans="14:15" x14ac:dyDescent="0.15">
      <c r="N260" s="42"/>
      <c r="O260" s="42"/>
    </row>
    <row r="261" spans="14:15" x14ac:dyDescent="0.15">
      <c r="N261" s="42"/>
      <c r="O261" s="42"/>
    </row>
    <row r="262" spans="14:15" x14ac:dyDescent="0.15">
      <c r="N262" s="42"/>
      <c r="O262" s="42"/>
    </row>
    <row r="263" spans="14:15" x14ac:dyDescent="0.15">
      <c r="N263" s="42"/>
      <c r="O263" s="42"/>
    </row>
    <row r="264" spans="14:15" x14ac:dyDescent="0.15">
      <c r="N264" s="42"/>
      <c r="O264" s="42"/>
    </row>
    <row r="265" spans="14:15" x14ac:dyDescent="0.15">
      <c r="N265" s="42"/>
      <c r="O265" s="42"/>
    </row>
    <row r="266" spans="14:15" x14ac:dyDescent="0.15">
      <c r="N266" s="42"/>
      <c r="O266" s="42"/>
    </row>
    <row r="267" spans="14:15" x14ac:dyDescent="0.15">
      <c r="N267" s="42"/>
      <c r="O267" s="42"/>
    </row>
    <row r="268" spans="14:15" x14ac:dyDescent="0.15">
      <c r="N268" s="42"/>
      <c r="O268" s="42"/>
    </row>
    <row r="269" spans="14:15" x14ac:dyDescent="0.15">
      <c r="N269" s="42"/>
      <c r="O269" s="42"/>
    </row>
    <row r="270" spans="14:15" x14ac:dyDescent="0.15">
      <c r="N270" s="42"/>
      <c r="O270" s="42"/>
    </row>
    <row r="271" spans="14:15" x14ac:dyDescent="0.15">
      <c r="N271" s="42"/>
      <c r="O271" s="42"/>
    </row>
    <row r="272" spans="14:15" x14ac:dyDescent="0.15">
      <c r="N272" s="42"/>
      <c r="O272" s="42"/>
    </row>
    <row r="273" spans="14:15" x14ac:dyDescent="0.15">
      <c r="N273" s="42"/>
      <c r="O273" s="42"/>
    </row>
    <row r="274" spans="14:15" x14ac:dyDescent="0.15">
      <c r="N274" s="42"/>
      <c r="O274" s="42"/>
    </row>
    <row r="275" spans="14:15" x14ac:dyDescent="0.15">
      <c r="N275" s="42"/>
      <c r="O275" s="42"/>
    </row>
    <row r="276" spans="14:15" x14ac:dyDescent="0.15">
      <c r="N276" s="42"/>
      <c r="O276" s="42"/>
    </row>
    <row r="277" spans="14:15" x14ac:dyDescent="0.15">
      <c r="N277" s="42"/>
      <c r="O277" s="42"/>
    </row>
    <row r="278" spans="14:15" x14ac:dyDescent="0.15">
      <c r="N278" s="42"/>
      <c r="O278" s="42"/>
    </row>
    <row r="279" spans="14:15" x14ac:dyDescent="0.15">
      <c r="N279" s="42"/>
      <c r="O279" s="42"/>
    </row>
    <row r="280" spans="14:15" x14ac:dyDescent="0.15">
      <c r="N280" s="42"/>
      <c r="O280" s="42"/>
    </row>
    <row r="281" spans="14:15" x14ac:dyDescent="0.15">
      <c r="N281" s="42"/>
      <c r="O281" s="42"/>
    </row>
    <row r="282" spans="14:15" x14ac:dyDescent="0.15">
      <c r="N282" s="42"/>
      <c r="O282" s="42"/>
    </row>
    <row r="283" spans="14:15" x14ac:dyDescent="0.15">
      <c r="N283" s="42"/>
      <c r="O283" s="42"/>
    </row>
    <row r="284" spans="14:15" x14ac:dyDescent="0.15">
      <c r="N284" s="42"/>
      <c r="O284" s="42"/>
    </row>
    <row r="285" spans="14:15" x14ac:dyDescent="0.15">
      <c r="N285" s="42"/>
      <c r="O285" s="42"/>
    </row>
    <row r="286" spans="14:15" x14ac:dyDescent="0.15">
      <c r="N286" s="42"/>
      <c r="O286" s="42"/>
    </row>
    <row r="287" spans="14:15" x14ac:dyDescent="0.15">
      <c r="N287" s="42"/>
      <c r="O287" s="42"/>
    </row>
    <row r="288" spans="14:15" x14ac:dyDescent="0.15">
      <c r="N288" s="42"/>
      <c r="O288" s="42"/>
    </row>
    <row r="289" spans="14:15" x14ac:dyDescent="0.15">
      <c r="N289" s="42"/>
      <c r="O289" s="42"/>
    </row>
    <row r="290" spans="14:15" x14ac:dyDescent="0.15">
      <c r="N290" s="42"/>
      <c r="O290" s="42"/>
    </row>
    <row r="291" spans="14:15" x14ac:dyDescent="0.15">
      <c r="N291" s="42"/>
      <c r="O291" s="42"/>
    </row>
    <row r="292" spans="14:15" x14ac:dyDescent="0.15">
      <c r="N292" s="42"/>
      <c r="O292" s="42"/>
    </row>
    <row r="293" spans="14:15" x14ac:dyDescent="0.15">
      <c r="N293" s="42"/>
      <c r="O293" s="42"/>
    </row>
    <row r="294" spans="14:15" x14ac:dyDescent="0.15">
      <c r="N294" s="42"/>
      <c r="O294" s="42"/>
    </row>
    <row r="295" spans="14:15" x14ac:dyDescent="0.15">
      <c r="N295" s="42"/>
      <c r="O295" s="42"/>
    </row>
    <row r="296" spans="14:15" x14ac:dyDescent="0.15">
      <c r="N296" s="42"/>
      <c r="O296" s="42"/>
    </row>
    <row r="297" spans="14:15" x14ac:dyDescent="0.15">
      <c r="N297" s="42"/>
      <c r="O297" s="42"/>
    </row>
    <row r="298" spans="14:15" x14ac:dyDescent="0.15">
      <c r="N298" s="42"/>
      <c r="O298" s="42"/>
    </row>
    <row r="299" spans="14:15" x14ac:dyDescent="0.15">
      <c r="N299" s="42"/>
      <c r="O299" s="42"/>
    </row>
    <row r="300" spans="14:15" x14ac:dyDescent="0.15">
      <c r="N300" s="42"/>
      <c r="O300" s="42"/>
    </row>
    <row r="301" spans="14:15" x14ac:dyDescent="0.15">
      <c r="N301" s="42"/>
      <c r="O301" s="42"/>
    </row>
    <row r="302" spans="14:15" x14ac:dyDescent="0.15">
      <c r="N302" s="42"/>
      <c r="O302" s="42"/>
    </row>
    <row r="303" spans="14:15" x14ac:dyDescent="0.15">
      <c r="N303" s="42"/>
      <c r="O303" s="42"/>
    </row>
    <row r="304" spans="14:15" x14ac:dyDescent="0.15">
      <c r="N304" s="42"/>
      <c r="O304" s="42"/>
    </row>
    <row r="305" spans="14:15" x14ac:dyDescent="0.15">
      <c r="N305" s="42"/>
      <c r="O305" s="42"/>
    </row>
    <row r="306" spans="14:15" x14ac:dyDescent="0.15">
      <c r="N306" s="42"/>
      <c r="O306" s="42"/>
    </row>
    <row r="307" spans="14:15" x14ac:dyDescent="0.15">
      <c r="N307" s="42"/>
      <c r="O307" s="42"/>
    </row>
    <row r="308" spans="14:15" x14ac:dyDescent="0.15">
      <c r="N308" s="42"/>
      <c r="O308" s="42"/>
    </row>
    <row r="309" spans="14:15" x14ac:dyDescent="0.15">
      <c r="N309" s="42"/>
      <c r="O309" s="42"/>
    </row>
    <row r="310" spans="14:15" x14ac:dyDescent="0.15">
      <c r="N310" s="42"/>
      <c r="O310" s="42"/>
    </row>
    <row r="311" spans="14:15" x14ac:dyDescent="0.15">
      <c r="N311" s="42"/>
      <c r="O311" s="42"/>
    </row>
    <row r="312" spans="14:15" x14ac:dyDescent="0.15">
      <c r="N312" s="42"/>
      <c r="O312" s="42"/>
    </row>
    <row r="313" spans="14:15" x14ac:dyDescent="0.15">
      <c r="N313" s="42"/>
      <c r="O313" s="42"/>
    </row>
    <row r="314" spans="14:15" x14ac:dyDescent="0.15">
      <c r="N314" s="42"/>
      <c r="O314" s="42"/>
    </row>
    <row r="315" spans="14:15" x14ac:dyDescent="0.15">
      <c r="N315" s="42"/>
      <c r="O315" s="42"/>
    </row>
    <row r="316" spans="14:15" x14ac:dyDescent="0.15">
      <c r="N316" s="42"/>
      <c r="O316" s="42"/>
    </row>
    <row r="317" spans="14:15" x14ac:dyDescent="0.15">
      <c r="N317" s="42"/>
      <c r="O317" s="42"/>
    </row>
    <row r="318" spans="14:15" x14ac:dyDescent="0.15">
      <c r="N318" s="42"/>
      <c r="O318" s="42"/>
    </row>
    <row r="319" spans="14:15" x14ac:dyDescent="0.15">
      <c r="N319" s="42"/>
      <c r="O319" s="42"/>
    </row>
    <row r="320" spans="14:15" x14ac:dyDescent="0.15">
      <c r="N320" s="42"/>
      <c r="O320" s="42"/>
    </row>
    <row r="321" spans="14:15" x14ac:dyDescent="0.15">
      <c r="N321" s="42"/>
      <c r="O321" s="42"/>
    </row>
    <row r="322" spans="14:15" x14ac:dyDescent="0.15">
      <c r="N322" s="42"/>
      <c r="O322" s="42"/>
    </row>
    <row r="323" spans="14:15" x14ac:dyDescent="0.15">
      <c r="N323" s="42"/>
      <c r="O323" s="42"/>
    </row>
    <row r="324" spans="14:15" x14ac:dyDescent="0.15">
      <c r="N324" s="42"/>
      <c r="O324" s="42"/>
    </row>
    <row r="325" spans="14:15" x14ac:dyDescent="0.15">
      <c r="N325" s="42"/>
      <c r="O325" s="42"/>
    </row>
    <row r="326" spans="14:15" x14ac:dyDescent="0.15">
      <c r="N326" s="42"/>
      <c r="O326" s="42"/>
    </row>
    <row r="327" spans="14:15" x14ac:dyDescent="0.15">
      <c r="N327" s="42"/>
      <c r="O327" s="42"/>
    </row>
    <row r="328" spans="14:15" x14ac:dyDescent="0.15">
      <c r="N328" s="42"/>
      <c r="O328" s="42"/>
    </row>
    <row r="329" spans="14:15" x14ac:dyDescent="0.15">
      <c r="N329" s="42"/>
      <c r="O329" s="42"/>
    </row>
    <row r="330" spans="14:15" x14ac:dyDescent="0.15">
      <c r="N330" s="42"/>
      <c r="O330" s="42"/>
    </row>
    <row r="331" spans="14:15" x14ac:dyDescent="0.15">
      <c r="N331" s="42"/>
      <c r="O331" s="42"/>
    </row>
    <row r="332" spans="14:15" x14ac:dyDescent="0.15">
      <c r="N332" s="42"/>
      <c r="O332" s="42"/>
    </row>
    <row r="333" spans="14:15" x14ac:dyDescent="0.15">
      <c r="N333" s="42"/>
      <c r="O333" s="42"/>
    </row>
    <row r="334" spans="14:15" x14ac:dyDescent="0.15">
      <c r="N334" s="42"/>
      <c r="O334" s="42"/>
    </row>
    <row r="335" spans="14:15" x14ac:dyDescent="0.15">
      <c r="N335" s="42"/>
      <c r="O335" s="42"/>
    </row>
    <row r="336" spans="14:15" x14ac:dyDescent="0.15">
      <c r="N336" s="42"/>
      <c r="O336" s="42"/>
    </row>
    <row r="337" spans="14:15" x14ac:dyDescent="0.15">
      <c r="N337" s="42"/>
      <c r="O337" s="42"/>
    </row>
    <row r="338" spans="14:15" x14ac:dyDescent="0.15">
      <c r="N338" s="42"/>
      <c r="O338" s="42"/>
    </row>
    <row r="339" spans="14:15" x14ac:dyDescent="0.15">
      <c r="N339" s="42"/>
      <c r="O339" s="42"/>
    </row>
    <row r="340" spans="14:15" x14ac:dyDescent="0.15">
      <c r="N340" s="42"/>
      <c r="O340" s="42"/>
    </row>
    <row r="341" spans="14:15" x14ac:dyDescent="0.15">
      <c r="N341" s="42"/>
      <c r="O341" s="42"/>
    </row>
    <row r="342" spans="14:15" x14ac:dyDescent="0.15">
      <c r="N342" s="42"/>
      <c r="O342" s="42"/>
    </row>
    <row r="343" spans="14:15" x14ac:dyDescent="0.15">
      <c r="N343" s="42"/>
      <c r="O343" s="42"/>
    </row>
    <row r="344" spans="14:15" x14ac:dyDescent="0.15">
      <c r="N344" s="42"/>
      <c r="O344" s="42"/>
    </row>
    <row r="345" spans="14:15" x14ac:dyDescent="0.15">
      <c r="N345" s="42"/>
      <c r="O345" s="42"/>
    </row>
    <row r="346" spans="14:15" x14ac:dyDescent="0.15">
      <c r="N346" s="42"/>
      <c r="O346" s="42"/>
    </row>
    <row r="347" spans="14:15" x14ac:dyDescent="0.15">
      <c r="N347" s="42"/>
      <c r="O347" s="42"/>
    </row>
    <row r="348" spans="14:15" x14ac:dyDescent="0.15">
      <c r="N348" s="42"/>
      <c r="O348" s="42"/>
    </row>
    <row r="349" spans="14:15" x14ac:dyDescent="0.15">
      <c r="N349" s="42"/>
      <c r="O349" s="42"/>
    </row>
    <row r="350" spans="14:15" x14ac:dyDescent="0.15">
      <c r="N350" s="42"/>
      <c r="O350" s="42"/>
    </row>
    <row r="351" spans="14:15" x14ac:dyDescent="0.15">
      <c r="N351" s="42"/>
      <c r="O351" s="42"/>
    </row>
    <row r="352" spans="14:15" x14ac:dyDescent="0.15">
      <c r="N352" s="42"/>
      <c r="O352" s="42"/>
    </row>
    <row r="353" spans="14:15" x14ac:dyDescent="0.15">
      <c r="N353" s="42"/>
      <c r="O353" s="42"/>
    </row>
    <row r="354" spans="14:15" x14ac:dyDescent="0.15">
      <c r="N354" s="42"/>
      <c r="O354" s="42"/>
    </row>
    <row r="355" spans="14:15" x14ac:dyDescent="0.15">
      <c r="N355" s="42"/>
      <c r="O355" s="42"/>
    </row>
    <row r="356" spans="14:15" x14ac:dyDescent="0.15">
      <c r="N356" s="42"/>
      <c r="O356" s="42"/>
    </row>
    <row r="357" spans="14:15" x14ac:dyDescent="0.15">
      <c r="N357" s="42"/>
      <c r="O357" s="42"/>
    </row>
    <row r="358" spans="14:15" x14ac:dyDescent="0.15">
      <c r="N358" s="42"/>
      <c r="O358" s="42"/>
    </row>
    <row r="359" spans="14:15" x14ac:dyDescent="0.15">
      <c r="N359" s="42"/>
      <c r="O359" s="42"/>
    </row>
    <row r="360" spans="14:15" x14ac:dyDescent="0.15">
      <c r="N360" s="42"/>
      <c r="O360" s="42"/>
    </row>
    <row r="361" spans="14:15" x14ac:dyDescent="0.15">
      <c r="N361" s="42"/>
      <c r="O361" s="42"/>
    </row>
    <row r="362" spans="14:15" x14ac:dyDescent="0.15">
      <c r="N362" s="42"/>
      <c r="O362" s="42"/>
    </row>
    <row r="363" spans="14:15" x14ac:dyDescent="0.15">
      <c r="N363" s="42"/>
      <c r="O363" s="42"/>
    </row>
    <row r="364" spans="14:15" x14ac:dyDescent="0.15">
      <c r="N364" s="42"/>
      <c r="O364" s="42"/>
    </row>
    <row r="365" spans="14:15" x14ac:dyDescent="0.15">
      <c r="N365" s="42"/>
      <c r="O365" s="42"/>
    </row>
    <row r="366" spans="14:15" x14ac:dyDescent="0.15">
      <c r="N366" s="42"/>
      <c r="O366" s="42"/>
    </row>
    <row r="367" spans="14:15" x14ac:dyDescent="0.15">
      <c r="N367" s="42"/>
      <c r="O367" s="42"/>
    </row>
    <row r="368" spans="14:15" x14ac:dyDescent="0.15">
      <c r="N368" s="42"/>
      <c r="O368" s="42"/>
    </row>
    <row r="369" spans="14:15" x14ac:dyDescent="0.15">
      <c r="N369" s="42"/>
      <c r="O369" s="42"/>
    </row>
    <row r="370" spans="14:15" x14ac:dyDescent="0.15">
      <c r="N370" s="42"/>
      <c r="O370" s="42"/>
    </row>
    <row r="371" spans="14:15" x14ac:dyDescent="0.15">
      <c r="N371" s="42"/>
      <c r="O371" s="42"/>
    </row>
    <row r="372" spans="14:15" x14ac:dyDescent="0.15">
      <c r="N372" s="42"/>
      <c r="O372" s="42"/>
    </row>
    <row r="373" spans="14:15" x14ac:dyDescent="0.15">
      <c r="N373" s="42"/>
      <c r="O373" s="42"/>
    </row>
    <row r="374" spans="14:15" x14ac:dyDescent="0.15">
      <c r="N374" s="42"/>
      <c r="O374" s="42"/>
    </row>
    <row r="375" spans="14:15" x14ac:dyDescent="0.15">
      <c r="N375" s="42"/>
      <c r="O375" s="42"/>
    </row>
    <row r="376" spans="14:15" x14ac:dyDescent="0.15">
      <c r="N376" s="42"/>
      <c r="O376" s="42"/>
    </row>
    <row r="377" spans="14:15" x14ac:dyDescent="0.15">
      <c r="N377" s="42"/>
      <c r="O377" s="42"/>
    </row>
    <row r="378" spans="14:15" x14ac:dyDescent="0.15">
      <c r="N378" s="42"/>
      <c r="O378" s="42"/>
    </row>
    <row r="379" spans="14:15" x14ac:dyDescent="0.15">
      <c r="N379" s="42"/>
      <c r="O379" s="42"/>
    </row>
    <row r="380" spans="14:15" x14ac:dyDescent="0.15">
      <c r="N380" s="42"/>
      <c r="O380" s="42"/>
    </row>
    <row r="381" spans="14:15" x14ac:dyDescent="0.15">
      <c r="N381" s="42"/>
      <c r="O381" s="42"/>
    </row>
    <row r="382" spans="14:15" x14ac:dyDescent="0.15">
      <c r="N382" s="42"/>
      <c r="O382" s="42"/>
    </row>
    <row r="383" spans="14:15" x14ac:dyDescent="0.15">
      <c r="N383" s="42"/>
      <c r="O383" s="42"/>
    </row>
    <row r="384" spans="14:15" x14ac:dyDescent="0.15">
      <c r="N384" s="42"/>
      <c r="O384" s="42"/>
    </row>
    <row r="385" spans="14:15" x14ac:dyDescent="0.15">
      <c r="N385" s="42"/>
      <c r="O385" s="42"/>
    </row>
    <row r="386" spans="14:15" x14ac:dyDescent="0.15">
      <c r="N386" s="42"/>
      <c r="O386" s="42"/>
    </row>
    <row r="387" spans="14:15" x14ac:dyDescent="0.15">
      <c r="N387" s="42"/>
      <c r="O387" s="42"/>
    </row>
    <row r="388" spans="14:15" x14ac:dyDescent="0.15">
      <c r="N388" s="42"/>
      <c r="O388" s="42"/>
    </row>
    <row r="389" spans="14:15" x14ac:dyDescent="0.15">
      <c r="N389" s="42"/>
      <c r="O389" s="42"/>
    </row>
    <row r="390" spans="14:15" x14ac:dyDescent="0.15">
      <c r="N390" s="42"/>
      <c r="O390" s="42"/>
    </row>
    <row r="391" spans="14:15" x14ac:dyDescent="0.15">
      <c r="N391" s="42"/>
      <c r="O391" s="42"/>
    </row>
    <row r="392" spans="14:15" x14ac:dyDescent="0.15">
      <c r="N392" s="42"/>
      <c r="O392" s="42"/>
    </row>
    <row r="393" spans="14:15" x14ac:dyDescent="0.15">
      <c r="N393" s="42"/>
      <c r="O393" s="42"/>
    </row>
    <row r="394" spans="14:15" x14ac:dyDescent="0.15">
      <c r="N394" s="42"/>
      <c r="O394" s="42"/>
    </row>
    <row r="395" spans="14:15" x14ac:dyDescent="0.15">
      <c r="N395" s="42"/>
      <c r="O395" s="42"/>
    </row>
    <row r="396" spans="14:15" x14ac:dyDescent="0.15">
      <c r="N396" s="42"/>
      <c r="O396" s="42"/>
    </row>
    <row r="397" spans="14:15" x14ac:dyDescent="0.15">
      <c r="N397" s="42"/>
      <c r="O397" s="42"/>
    </row>
    <row r="398" spans="14:15" x14ac:dyDescent="0.15">
      <c r="N398" s="42"/>
      <c r="O398" s="42"/>
    </row>
    <row r="399" spans="14:15" x14ac:dyDescent="0.15">
      <c r="N399" s="42"/>
      <c r="O399" s="42"/>
    </row>
    <row r="400" spans="14:15" x14ac:dyDescent="0.15">
      <c r="N400" s="42"/>
      <c r="O400" s="42"/>
    </row>
    <row r="401" spans="14:15" x14ac:dyDescent="0.15">
      <c r="N401" s="42"/>
      <c r="O401" s="42"/>
    </row>
    <row r="402" spans="14:15" x14ac:dyDescent="0.15">
      <c r="N402" s="42"/>
      <c r="O402" s="42"/>
    </row>
    <row r="403" spans="14:15" x14ac:dyDescent="0.15">
      <c r="N403" s="42"/>
      <c r="O403" s="42"/>
    </row>
    <row r="404" spans="14:15" x14ac:dyDescent="0.15">
      <c r="N404" s="42"/>
      <c r="O404" s="42"/>
    </row>
    <row r="405" spans="14:15" x14ac:dyDescent="0.15">
      <c r="N405" s="42"/>
      <c r="O405" s="42"/>
    </row>
    <row r="406" spans="14:15" x14ac:dyDescent="0.15">
      <c r="N406" s="42"/>
      <c r="O406" s="42"/>
    </row>
    <row r="407" spans="14:15" x14ac:dyDescent="0.15">
      <c r="N407" s="42"/>
      <c r="O407" s="42"/>
    </row>
    <row r="408" spans="14:15" x14ac:dyDescent="0.15">
      <c r="N408" s="42"/>
      <c r="O408" s="42"/>
    </row>
    <row r="409" spans="14:15" x14ac:dyDescent="0.15">
      <c r="N409" s="42"/>
      <c r="O409" s="42"/>
    </row>
    <row r="410" spans="14:15" x14ac:dyDescent="0.15">
      <c r="N410" s="42"/>
      <c r="O410" s="42"/>
    </row>
    <row r="411" spans="14:15" x14ac:dyDescent="0.15">
      <c r="N411" s="42"/>
      <c r="O411" s="42"/>
    </row>
    <row r="412" spans="14:15" x14ac:dyDescent="0.15">
      <c r="N412" s="42"/>
      <c r="O412" s="42"/>
    </row>
    <row r="413" spans="14:15" x14ac:dyDescent="0.15">
      <c r="N413" s="42"/>
      <c r="O413" s="42"/>
    </row>
    <row r="414" spans="14:15" x14ac:dyDescent="0.15">
      <c r="N414" s="42"/>
      <c r="O414" s="42"/>
    </row>
    <row r="415" spans="14:15" x14ac:dyDescent="0.15">
      <c r="N415" s="42"/>
      <c r="O415" s="42"/>
    </row>
    <row r="416" spans="14:15" x14ac:dyDescent="0.15">
      <c r="N416" s="42"/>
      <c r="O416" s="42"/>
    </row>
    <row r="417" spans="14:15" x14ac:dyDescent="0.15">
      <c r="N417" s="42"/>
      <c r="O417" s="42"/>
    </row>
    <row r="418" spans="14:15" x14ac:dyDescent="0.15">
      <c r="N418" s="42"/>
      <c r="O418" s="42"/>
    </row>
    <row r="419" spans="14:15" x14ac:dyDescent="0.15">
      <c r="N419" s="42"/>
      <c r="O419" s="42"/>
    </row>
    <row r="420" spans="14:15" x14ac:dyDescent="0.15">
      <c r="N420" s="42"/>
      <c r="O420" s="42"/>
    </row>
    <row r="421" spans="14:15" x14ac:dyDescent="0.15">
      <c r="N421" s="42"/>
      <c r="O421" s="42"/>
    </row>
    <row r="422" spans="14:15" x14ac:dyDescent="0.15">
      <c r="N422" s="42"/>
      <c r="O422" s="42"/>
    </row>
    <row r="423" spans="14:15" x14ac:dyDescent="0.15">
      <c r="N423" s="42"/>
      <c r="O423" s="42"/>
    </row>
    <row r="424" spans="14:15" x14ac:dyDescent="0.15">
      <c r="N424" s="42"/>
      <c r="O424" s="42"/>
    </row>
    <row r="425" spans="14:15" x14ac:dyDescent="0.15">
      <c r="N425" s="42"/>
      <c r="O425" s="42"/>
    </row>
    <row r="426" spans="14:15" x14ac:dyDescent="0.15">
      <c r="N426" s="42"/>
      <c r="O426" s="42"/>
    </row>
    <row r="427" spans="14:15" x14ac:dyDescent="0.15">
      <c r="N427" s="42"/>
      <c r="O427" s="42"/>
    </row>
    <row r="428" spans="14:15" x14ac:dyDescent="0.15">
      <c r="N428" s="42"/>
      <c r="O428" s="42"/>
    </row>
    <row r="429" spans="14:15" x14ac:dyDescent="0.15">
      <c r="N429" s="42"/>
      <c r="O429" s="42"/>
    </row>
    <row r="430" spans="14:15" x14ac:dyDescent="0.15">
      <c r="N430" s="42"/>
      <c r="O430" s="42"/>
    </row>
    <row r="431" spans="14:15" x14ac:dyDescent="0.15">
      <c r="N431" s="42"/>
      <c r="O431" s="42"/>
    </row>
    <row r="432" spans="14:15" x14ac:dyDescent="0.15">
      <c r="N432" s="42"/>
      <c r="O432" s="42"/>
    </row>
    <row r="433" spans="14:15" x14ac:dyDescent="0.15">
      <c r="N433" s="42"/>
      <c r="O433" s="42"/>
    </row>
    <row r="434" spans="14:15" x14ac:dyDescent="0.15">
      <c r="N434" s="42"/>
      <c r="O434" s="42"/>
    </row>
    <row r="435" spans="14:15" x14ac:dyDescent="0.15">
      <c r="N435" s="42"/>
      <c r="O435" s="42"/>
    </row>
    <row r="436" spans="14:15" x14ac:dyDescent="0.15">
      <c r="N436" s="42"/>
      <c r="O436" s="42"/>
    </row>
    <row r="437" spans="14:15" x14ac:dyDescent="0.15">
      <c r="N437" s="42"/>
      <c r="O437" s="42"/>
    </row>
    <row r="438" spans="14:15" x14ac:dyDescent="0.15">
      <c r="N438" s="42"/>
      <c r="O438" s="42"/>
    </row>
    <row r="439" spans="14:15" x14ac:dyDescent="0.15">
      <c r="N439" s="42"/>
      <c r="O439" s="42"/>
    </row>
    <row r="440" spans="14:15" x14ac:dyDescent="0.15">
      <c r="N440" s="42"/>
      <c r="O440" s="42"/>
    </row>
    <row r="441" spans="14:15" x14ac:dyDescent="0.15">
      <c r="N441" s="42"/>
      <c r="O441" s="42"/>
    </row>
    <row r="442" spans="14:15" x14ac:dyDescent="0.15">
      <c r="N442" s="42"/>
      <c r="O442" s="42"/>
    </row>
    <row r="443" spans="14:15" x14ac:dyDescent="0.15">
      <c r="N443" s="42"/>
      <c r="O443" s="42"/>
    </row>
    <row r="444" spans="14:15" x14ac:dyDescent="0.15">
      <c r="N444" s="42"/>
      <c r="O444" s="42"/>
    </row>
    <row r="445" spans="14:15" x14ac:dyDescent="0.15">
      <c r="N445" s="42"/>
      <c r="O445" s="42"/>
    </row>
    <row r="446" spans="14:15" x14ac:dyDescent="0.15">
      <c r="N446" s="42"/>
      <c r="O446" s="42"/>
    </row>
    <row r="447" spans="14:15" x14ac:dyDescent="0.15">
      <c r="N447" s="42"/>
      <c r="O447" s="42"/>
    </row>
    <row r="448" spans="14:15" x14ac:dyDescent="0.15">
      <c r="N448" s="42"/>
      <c r="O448" s="42"/>
    </row>
    <row r="449" spans="14:15" x14ac:dyDescent="0.15">
      <c r="N449" s="42"/>
      <c r="O449" s="42"/>
    </row>
    <row r="450" spans="14:15" x14ac:dyDescent="0.15">
      <c r="N450" s="42"/>
      <c r="O450" s="42"/>
    </row>
    <row r="451" spans="14:15" x14ac:dyDescent="0.15">
      <c r="N451" s="42"/>
      <c r="O451" s="42"/>
    </row>
    <row r="452" spans="14:15" x14ac:dyDescent="0.15">
      <c r="N452" s="42"/>
      <c r="O452" s="42"/>
    </row>
    <row r="453" spans="14:15" x14ac:dyDescent="0.15">
      <c r="N453" s="42"/>
      <c r="O453" s="42"/>
    </row>
    <row r="454" spans="14:15" x14ac:dyDescent="0.15">
      <c r="N454" s="42"/>
      <c r="O454" s="42"/>
    </row>
    <row r="455" spans="14:15" x14ac:dyDescent="0.15">
      <c r="N455" s="42"/>
      <c r="O455" s="42"/>
    </row>
    <row r="456" spans="14:15" x14ac:dyDescent="0.15">
      <c r="N456" s="42"/>
      <c r="O456" s="42"/>
    </row>
    <row r="457" spans="14:15" x14ac:dyDescent="0.15">
      <c r="N457" s="42"/>
      <c r="O457" s="42"/>
    </row>
    <row r="458" spans="14:15" x14ac:dyDescent="0.15">
      <c r="N458" s="42"/>
      <c r="O458" s="42"/>
    </row>
    <row r="459" spans="14:15" x14ac:dyDescent="0.15">
      <c r="N459" s="42"/>
      <c r="O459" s="42"/>
    </row>
    <row r="460" spans="14:15" x14ac:dyDescent="0.15">
      <c r="N460" s="42"/>
      <c r="O460" s="42"/>
    </row>
    <row r="461" spans="14:15" x14ac:dyDescent="0.15">
      <c r="N461" s="42"/>
      <c r="O461" s="42"/>
    </row>
    <row r="462" spans="14:15" x14ac:dyDescent="0.15">
      <c r="N462" s="42"/>
      <c r="O462" s="42"/>
    </row>
    <row r="463" spans="14:15" x14ac:dyDescent="0.15">
      <c r="N463" s="42"/>
      <c r="O463" s="42"/>
    </row>
    <row r="464" spans="14:15" x14ac:dyDescent="0.15">
      <c r="N464" s="42"/>
      <c r="O464" s="42"/>
    </row>
    <row r="465" spans="14:15" x14ac:dyDescent="0.15">
      <c r="N465" s="42"/>
      <c r="O465" s="42"/>
    </row>
    <row r="466" spans="14:15" x14ac:dyDescent="0.15">
      <c r="N466" s="42"/>
      <c r="O466" s="42"/>
    </row>
    <row r="467" spans="14:15" x14ac:dyDescent="0.15">
      <c r="N467" s="42"/>
      <c r="O467" s="42"/>
    </row>
    <row r="468" spans="14:15" x14ac:dyDescent="0.15">
      <c r="N468" s="42"/>
      <c r="O468" s="42"/>
    </row>
    <row r="469" spans="14:15" x14ac:dyDescent="0.15">
      <c r="N469" s="42"/>
      <c r="O469" s="42"/>
    </row>
    <row r="470" spans="14:15" x14ac:dyDescent="0.15">
      <c r="N470" s="42"/>
      <c r="O470" s="42"/>
    </row>
    <row r="471" spans="14:15" x14ac:dyDescent="0.15">
      <c r="N471" s="42"/>
      <c r="O471" s="42"/>
    </row>
    <row r="472" spans="14:15" x14ac:dyDescent="0.15">
      <c r="N472" s="42"/>
      <c r="O472" s="42"/>
    </row>
    <row r="473" spans="14:15" x14ac:dyDescent="0.15">
      <c r="N473" s="42"/>
      <c r="O473" s="42"/>
    </row>
    <row r="474" spans="14:15" x14ac:dyDescent="0.15">
      <c r="N474" s="42"/>
      <c r="O474" s="42"/>
    </row>
    <row r="475" spans="14:15" x14ac:dyDescent="0.15">
      <c r="N475" s="42"/>
      <c r="O475" s="42"/>
    </row>
    <row r="476" spans="14:15" x14ac:dyDescent="0.15">
      <c r="N476" s="42"/>
      <c r="O476" s="42"/>
    </row>
    <row r="477" spans="14:15" x14ac:dyDescent="0.15">
      <c r="N477" s="42"/>
      <c r="O477" s="42"/>
    </row>
    <row r="478" spans="14:15" x14ac:dyDescent="0.15">
      <c r="N478" s="42"/>
      <c r="O478" s="42"/>
    </row>
    <row r="479" spans="14:15" x14ac:dyDescent="0.15">
      <c r="N479" s="42"/>
      <c r="O479" s="42"/>
    </row>
    <row r="480" spans="14:15" x14ac:dyDescent="0.15">
      <c r="N480" s="42"/>
      <c r="O480" s="42"/>
    </row>
    <row r="481" spans="14:15" x14ac:dyDescent="0.15">
      <c r="N481" s="42"/>
      <c r="O481" s="42"/>
    </row>
    <row r="482" spans="14:15" x14ac:dyDescent="0.15">
      <c r="N482" s="42"/>
      <c r="O482" s="42"/>
    </row>
    <row r="483" spans="14:15" x14ac:dyDescent="0.15">
      <c r="N483" s="42"/>
      <c r="O483" s="42"/>
    </row>
    <row r="484" spans="14:15" x14ac:dyDescent="0.15">
      <c r="N484" s="42"/>
      <c r="O484" s="42"/>
    </row>
    <row r="485" spans="14:15" x14ac:dyDescent="0.15">
      <c r="N485" s="42"/>
      <c r="O485" s="42"/>
    </row>
    <row r="486" spans="14:15" x14ac:dyDescent="0.15">
      <c r="N486" s="42"/>
      <c r="O486" s="42"/>
    </row>
    <row r="487" spans="14:15" x14ac:dyDescent="0.15">
      <c r="N487" s="42"/>
      <c r="O487" s="42"/>
    </row>
    <row r="488" spans="14:15" x14ac:dyDescent="0.15">
      <c r="N488" s="42"/>
      <c r="O488" s="42"/>
    </row>
    <row r="489" spans="14:15" x14ac:dyDescent="0.15">
      <c r="N489" s="42"/>
      <c r="O489" s="42"/>
    </row>
    <row r="490" spans="14:15" x14ac:dyDescent="0.15">
      <c r="N490" s="42"/>
      <c r="O490" s="42"/>
    </row>
    <row r="491" spans="14:15" x14ac:dyDescent="0.15">
      <c r="N491" s="42"/>
      <c r="O491" s="42"/>
    </row>
    <row r="492" spans="14:15" x14ac:dyDescent="0.15">
      <c r="N492" s="42"/>
      <c r="O492" s="42"/>
    </row>
    <row r="493" spans="14:15" x14ac:dyDescent="0.15">
      <c r="N493" s="42"/>
      <c r="O493" s="42"/>
    </row>
    <row r="494" spans="14:15" x14ac:dyDescent="0.15">
      <c r="N494" s="42"/>
      <c r="O494" s="42"/>
    </row>
    <row r="495" spans="14:15" x14ac:dyDescent="0.15">
      <c r="N495" s="42"/>
      <c r="O495" s="42"/>
    </row>
    <row r="496" spans="14:15" x14ac:dyDescent="0.15">
      <c r="N496" s="42"/>
      <c r="O496" s="42"/>
    </row>
    <row r="497" spans="14:15" x14ac:dyDescent="0.15">
      <c r="N497" s="42"/>
      <c r="O497" s="42"/>
    </row>
    <row r="498" spans="14:15" x14ac:dyDescent="0.15">
      <c r="N498" s="42"/>
      <c r="O498" s="42"/>
    </row>
    <row r="499" spans="14:15" x14ac:dyDescent="0.15">
      <c r="N499" s="42"/>
      <c r="O499" s="42"/>
    </row>
    <row r="500" spans="14:15" x14ac:dyDescent="0.15">
      <c r="N500" s="42"/>
      <c r="O500" s="42"/>
    </row>
    <row r="501" spans="14:15" x14ac:dyDescent="0.15">
      <c r="N501" s="42"/>
      <c r="O501" s="42"/>
    </row>
    <row r="502" spans="14:15" x14ac:dyDescent="0.15">
      <c r="N502" s="42"/>
      <c r="O502" s="42"/>
    </row>
    <row r="503" spans="14:15" x14ac:dyDescent="0.15">
      <c r="N503" s="42"/>
      <c r="O503" s="42"/>
    </row>
    <row r="504" spans="14:15" x14ac:dyDescent="0.15">
      <c r="N504" s="42"/>
      <c r="O504" s="42"/>
    </row>
    <row r="505" spans="14:15" x14ac:dyDescent="0.15">
      <c r="N505" s="42"/>
      <c r="O505" s="42"/>
    </row>
    <row r="506" spans="14:15" x14ac:dyDescent="0.15">
      <c r="N506" s="42"/>
      <c r="O506" s="42"/>
    </row>
    <row r="507" spans="14:15" x14ac:dyDescent="0.15">
      <c r="N507" s="42"/>
      <c r="O507" s="42"/>
    </row>
    <row r="508" spans="14:15" x14ac:dyDescent="0.15">
      <c r="N508" s="42"/>
      <c r="O508" s="42"/>
    </row>
    <row r="509" spans="14:15" x14ac:dyDescent="0.15">
      <c r="N509" s="42"/>
      <c r="O509" s="42"/>
    </row>
    <row r="510" spans="14:15" x14ac:dyDescent="0.15">
      <c r="N510" s="42"/>
      <c r="O510" s="42"/>
    </row>
    <row r="511" spans="14:15" x14ac:dyDescent="0.15">
      <c r="N511" s="42"/>
      <c r="O511" s="42"/>
    </row>
    <row r="512" spans="14:15" x14ac:dyDescent="0.15">
      <c r="N512" s="42"/>
      <c r="O512" s="42"/>
    </row>
    <row r="513" spans="14:15" x14ac:dyDescent="0.15">
      <c r="N513" s="42"/>
      <c r="O513" s="42"/>
    </row>
    <row r="514" spans="14:15" x14ac:dyDescent="0.15">
      <c r="N514" s="42"/>
      <c r="O514" s="42"/>
    </row>
    <row r="515" spans="14:15" x14ac:dyDescent="0.15">
      <c r="N515" s="42"/>
      <c r="O515" s="42"/>
    </row>
    <row r="516" spans="14:15" x14ac:dyDescent="0.15">
      <c r="N516" s="42"/>
      <c r="O516" s="42"/>
    </row>
    <row r="517" spans="14:15" x14ac:dyDescent="0.15">
      <c r="N517" s="42"/>
      <c r="O517" s="42"/>
    </row>
    <row r="518" spans="14:15" x14ac:dyDescent="0.15">
      <c r="N518" s="42"/>
      <c r="O518" s="42"/>
    </row>
    <row r="519" spans="14:15" x14ac:dyDescent="0.15">
      <c r="N519" s="42"/>
      <c r="O519" s="42"/>
    </row>
    <row r="520" spans="14:15" x14ac:dyDescent="0.15">
      <c r="N520" s="42"/>
      <c r="O520" s="42"/>
    </row>
    <row r="521" spans="14:15" x14ac:dyDescent="0.15">
      <c r="N521" s="42"/>
      <c r="O521" s="42"/>
    </row>
    <row r="522" spans="14:15" x14ac:dyDescent="0.15">
      <c r="N522" s="42"/>
      <c r="O522" s="42"/>
    </row>
    <row r="523" spans="14:15" x14ac:dyDescent="0.15">
      <c r="N523" s="42"/>
      <c r="O523" s="42"/>
    </row>
    <row r="524" spans="14:15" x14ac:dyDescent="0.15">
      <c r="N524" s="42"/>
      <c r="O524" s="42"/>
    </row>
    <row r="525" spans="14:15" x14ac:dyDescent="0.15">
      <c r="N525" s="42"/>
      <c r="O525" s="42"/>
    </row>
    <row r="526" spans="14:15" x14ac:dyDescent="0.15">
      <c r="N526" s="42"/>
      <c r="O526" s="42"/>
    </row>
    <row r="527" spans="14:15" x14ac:dyDescent="0.15">
      <c r="N527" s="42"/>
      <c r="O527" s="42"/>
    </row>
    <row r="528" spans="14:15" x14ac:dyDescent="0.15">
      <c r="N528" s="42"/>
      <c r="O528" s="42"/>
    </row>
    <row r="529" spans="14:15" x14ac:dyDescent="0.15">
      <c r="N529" s="42"/>
      <c r="O529" s="42"/>
    </row>
    <row r="530" spans="14:15" x14ac:dyDescent="0.15">
      <c r="N530" s="42"/>
      <c r="O530" s="42"/>
    </row>
    <row r="531" spans="14:15" x14ac:dyDescent="0.15">
      <c r="N531" s="42"/>
      <c r="O531" s="42"/>
    </row>
    <row r="532" spans="14:15" x14ac:dyDescent="0.15">
      <c r="N532" s="42"/>
      <c r="O532" s="42"/>
    </row>
    <row r="533" spans="14:15" x14ac:dyDescent="0.15">
      <c r="N533" s="42"/>
      <c r="O533" s="42"/>
    </row>
    <row r="534" spans="14:15" x14ac:dyDescent="0.15">
      <c r="N534" s="42"/>
      <c r="O534" s="42"/>
    </row>
    <row r="535" spans="14:15" x14ac:dyDescent="0.15">
      <c r="N535" s="42"/>
      <c r="O535" s="42"/>
    </row>
    <row r="536" spans="14:15" x14ac:dyDescent="0.15">
      <c r="N536" s="42"/>
      <c r="O536" s="42"/>
    </row>
    <row r="537" spans="14:15" x14ac:dyDescent="0.15">
      <c r="N537" s="42"/>
      <c r="O537" s="42"/>
    </row>
    <row r="538" spans="14:15" x14ac:dyDescent="0.15">
      <c r="N538" s="42"/>
      <c r="O538" s="42"/>
    </row>
    <row r="539" spans="14:15" x14ac:dyDescent="0.15">
      <c r="N539" s="42"/>
      <c r="O539" s="42"/>
    </row>
    <row r="540" spans="14:15" x14ac:dyDescent="0.15">
      <c r="N540" s="42"/>
      <c r="O540" s="42"/>
    </row>
    <row r="541" spans="14:15" x14ac:dyDescent="0.15">
      <c r="N541" s="42"/>
      <c r="O541" s="42"/>
    </row>
    <row r="542" spans="14:15" x14ac:dyDescent="0.15">
      <c r="N542" s="42"/>
      <c r="O542" s="42"/>
    </row>
    <row r="543" spans="14:15" x14ac:dyDescent="0.15">
      <c r="N543" s="42"/>
      <c r="O543" s="42"/>
    </row>
    <row r="544" spans="14:15" x14ac:dyDescent="0.15">
      <c r="N544" s="42"/>
      <c r="O544" s="42"/>
    </row>
    <row r="545" spans="14:15" x14ac:dyDescent="0.15">
      <c r="N545" s="42"/>
      <c r="O545" s="42"/>
    </row>
    <row r="546" spans="14:15" x14ac:dyDescent="0.15">
      <c r="N546" s="42"/>
      <c r="O546" s="42"/>
    </row>
    <row r="547" spans="14:15" x14ac:dyDescent="0.15">
      <c r="N547" s="42"/>
      <c r="O547" s="42"/>
    </row>
    <row r="548" spans="14:15" x14ac:dyDescent="0.15">
      <c r="N548" s="42"/>
      <c r="O548" s="42"/>
    </row>
    <row r="549" spans="14:15" x14ac:dyDescent="0.15">
      <c r="N549" s="42"/>
      <c r="O549" s="42"/>
    </row>
    <row r="550" spans="14:15" x14ac:dyDescent="0.15">
      <c r="N550" s="42"/>
      <c r="O550" s="42"/>
    </row>
    <row r="551" spans="14:15" x14ac:dyDescent="0.15">
      <c r="N551" s="42"/>
      <c r="O551" s="42"/>
    </row>
    <row r="552" spans="14:15" x14ac:dyDescent="0.15">
      <c r="N552" s="42"/>
      <c r="O552" s="42"/>
    </row>
    <row r="553" spans="14:15" x14ac:dyDescent="0.15">
      <c r="N553" s="42"/>
      <c r="O553" s="42"/>
    </row>
    <row r="554" spans="14:15" x14ac:dyDescent="0.15">
      <c r="N554" s="42"/>
      <c r="O554" s="42"/>
    </row>
    <row r="555" spans="14:15" x14ac:dyDescent="0.15">
      <c r="N555" s="42"/>
      <c r="O555" s="42"/>
    </row>
    <row r="556" spans="14:15" x14ac:dyDescent="0.15">
      <c r="N556" s="42"/>
      <c r="O556" s="42"/>
    </row>
    <row r="557" spans="14:15" x14ac:dyDescent="0.15">
      <c r="N557" s="42"/>
      <c r="O557" s="42"/>
    </row>
    <row r="558" spans="14:15" x14ac:dyDescent="0.15">
      <c r="N558" s="42"/>
      <c r="O558" s="42"/>
    </row>
    <row r="559" spans="14:15" x14ac:dyDescent="0.15">
      <c r="N559" s="42"/>
      <c r="O559" s="42"/>
    </row>
    <row r="560" spans="14:15" x14ac:dyDescent="0.15">
      <c r="N560" s="42"/>
      <c r="O560" s="42"/>
    </row>
    <row r="561" spans="14:15" x14ac:dyDescent="0.15">
      <c r="N561" s="42"/>
      <c r="O561" s="42"/>
    </row>
    <row r="562" spans="14:15" x14ac:dyDescent="0.15">
      <c r="N562" s="42"/>
      <c r="O562" s="42"/>
    </row>
    <row r="563" spans="14:15" x14ac:dyDescent="0.15">
      <c r="N563" s="42"/>
      <c r="O563" s="42"/>
    </row>
    <row r="564" spans="14:15" x14ac:dyDescent="0.15">
      <c r="N564" s="42"/>
      <c r="O564" s="42"/>
    </row>
    <row r="565" spans="14:15" x14ac:dyDescent="0.15">
      <c r="N565" s="42"/>
      <c r="O565" s="42"/>
    </row>
    <row r="566" spans="14:15" x14ac:dyDescent="0.15">
      <c r="N566" s="42"/>
      <c r="O566" s="42"/>
    </row>
    <row r="567" spans="14:15" x14ac:dyDescent="0.15">
      <c r="N567" s="42"/>
      <c r="O567" s="42"/>
    </row>
    <row r="568" spans="14:15" x14ac:dyDescent="0.15">
      <c r="N568" s="42"/>
      <c r="O568" s="42"/>
    </row>
    <row r="569" spans="14:15" x14ac:dyDescent="0.15">
      <c r="N569" s="42"/>
      <c r="O569" s="42"/>
    </row>
    <row r="570" spans="14:15" x14ac:dyDescent="0.15">
      <c r="N570" s="42"/>
      <c r="O570" s="42"/>
    </row>
    <row r="571" spans="14:15" x14ac:dyDescent="0.15">
      <c r="N571" s="42"/>
      <c r="O571" s="42"/>
    </row>
    <row r="572" spans="14:15" x14ac:dyDescent="0.15">
      <c r="N572" s="42"/>
      <c r="O572" s="42"/>
    </row>
    <row r="573" spans="14:15" x14ac:dyDescent="0.15">
      <c r="N573" s="42"/>
      <c r="O573" s="42"/>
    </row>
    <row r="574" spans="14:15" x14ac:dyDescent="0.15">
      <c r="N574" s="42"/>
      <c r="O574" s="42"/>
    </row>
    <row r="575" spans="14:15" x14ac:dyDescent="0.15">
      <c r="N575" s="42"/>
      <c r="O575" s="42"/>
    </row>
    <row r="576" spans="14:15" x14ac:dyDescent="0.15">
      <c r="N576" s="42"/>
      <c r="O576" s="42"/>
    </row>
    <row r="577" spans="14:15" x14ac:dyDescent="0.15">
      <c r="N577" s="42"/>
      <c r="O577" s="42"/>
    </row>
    <row r="578" spans="14:15" x14ac:dyDescent="0.15">
      <c r="N578" s="42"/>
      <c r="O578" s="42"/>
    </row>
    <row r="579" spans="14:15" x14ac:dyDescent="0.15">
      <c r="N579" s="42"/>
      <c r="O579" s="42"/>
    </row>
    <row r="580" spans="14:15" x14ac:dyDescent="0.15">
      <c r="N580" s="42"/>
      <c r="O580" s="42"/>
    </row>
    <row r="581" spans="14:15" x14ac:dyDescent="0.15">
      <c r="N581" s="42"/>
      <c r="O581" s="42"/>
    </row>
    <row r="582" spans="14:15" x14ac:dyDescent="0.15">
      <c r="N582" s="42"/>
      <c r="O582" s="42"/>
    </row>
    <row r="583" spans="14:15" x14ac:dyDescent="0.15">
      <c r="N583" s="42"/>
      <c r="O583" s="42"/>
    </row>
    <row r="584" spans="14:15" x14ac:dyDescent="0.15">
      <c r="N584" s="42"/>
      <c r="O584" s="42"/>
    </row>
    <row r="585" spans="14:15" x14ac:dyDescent="0.15">
      <c r="N585" s="42"/>
      <c r="O585" s="42"/>
    </row>
    <row r="586" spans="14:15" x14ac:dyDescent="0.15">
      <c r="N586" s="42"/>
      <c r="O586" s="42"/>
    </row>
    <row r="587" spans="14:15" x14ac:dyDescent="0.15">
      <c r="N587" s="42"/>
      <c r="O587" s="42"/>
    </row>
    <row r="588" spans="14:15" x14ac:dyDescent="0.15">
      <c r="N588" s="42"/>
      <c r="O588" s="42"/>
    </row>
    <row r="589" spans="14:15" x14ac:dyDescent="0.15">
      <c r="N589" s="42"/>
      <c r="O589" s="42"/>
    </row>
    <row r="590" spans="14:15" x14ac:dyDescent="0.15">
      <c r="N590" s="42"/>
      <c r="O590" s="42"/>
    </row>
    <row r="591" spans="14:15" x14ac:dyDescent="0.15">
      <c r="N591" s="42"/>
      <c r="O591" s="42"/>
    </row>
    <row r="592" spans="14:15" x14ac:dyDescent="0.15">
      <c r="N592" s="42"/>
      <c r="O592" s="42"/>
    </row>
    <row r="593" spans="14:15" x14ac:dyDescent="0.15">
      <c r="N593" s="42"/>
      <c r="O593" s="42"/>
    </row>
    <row r="594" spans="14:15" x14ac:dyDescent="0.15">
      <c r="N594" s="42"/>
      <c r="O594" s="42"/>
    </row>
    <row r="595" spans="14:15" x14ac:dyDescent="0.15">
      <c r="N595" s="42"/>
      <c r="O595" s="42"/>
    </row>
    <row r="596" spans="14:15" x14ac:dyDescent="0.15">
      <c r="N596" s="42"/>
      <c r="O596" s="42"/>
    </row>
    <row r="597" spans="14:15" x14ac:dyDescent="0.15">
      <c r="N597" s="42"/>
      <c r="O597" s="42"/>
    </row>
    <row r="598" spans="14:15" x14ac:dyDescent="0.15">
      <c r="N598" s="42"/>
      <c r="O598" s="42"/>
    </row>
    <row r="599" spans="14:15" x14ac:dyDescent="0.15">
      <c r="N599" s="42"/>
      <c r="O599" s="42"/>
    </row>
    <row r="600" spans="14:15" x14ac:dyDescent="0.15">
      <c r="N600" s="42"/>
      <c r="O600" s="42"/>
    </row>
    <row r="601" spans="14:15" x14ac:dyDescent="0.15">
      <c r="N601" s="42"/>
      <c r="O601" s="42"/>
    </row>
    <row r="602" spans="14:15" x14ac:dyDescent="0.15">
      <c r="N602" s="42"/>
      <c r="O602" s="42"/>
    </row>
    <row r="603" spans="14:15" x14ac:dyDescent="0.15">
      <c r="N603" s="42"/>
      <c r="O603" s="42"/>
    </row>
    <row r="604" spans="14:15" x14ac:dyDescent="0.15">
      <c r="N604" s="42"/>
      <c r="O604" s="42"/>
    </row>
    <row r="605" spans="14:15" x14ac:dyDescent="0.15">
      <c r="N605" s="42"/>
      <c r="O605" s="42"/>
    </row>
    <row r="606" spans="14:15" x14ac:dyDescent="0.15">
      <c r="N606" s="42"/>
      <c r="O606" s="42"/>
    </row>
    <row r="607" spans="14:15" x14ac:dyDescent="0.15">
      <c r="N607" s="42"/>
      <c r="O607" s="42"/>
    </row>
    <row r="608" spans="14:15" x14ac:dyDescent="0.15">
      <c r="N608" s="42"/>
      <c r="O608" s="42"/>
    </row>
    <row r="609" spans="14:15" x14ac:dyDescent="0.15">
      <c r="N609" s="42"/>
      <c r="O609" s="42"/>
    </row>
    <row r="610" spans="14:15" x14ac:dyDescent="0.15">
      <c r="N610" s="42"/>
      <c r="O610" s="42"/>
    </row>
    <row r="611" spans="14:15" x14ac:dyDescent="0.15">
      <c r="N611" s="42"/>
      <c r="O611" s="42"/>
    </row>
    <row r="612" spans="14:15" x14ac:dyDescent="0.15">
      <c r="N612" s="42"/>
      <c r="O612" s="42"/>
    </row>
    <row r="613" spans="14:15" x14ac:dyDescent="0.15">
      <c r="N613" s="42"/>
      <c r="O613" s="42"/>
    </row>
    <row r="614" spans="14:15" x14ac:dyDescent="0.15">
      <c r="N614" s="42"/>
      <c r="O614" s="42"/>
    </row>
    <row r="615" spans="14:15" x14ac:dyDescent="0.15">
      <c r="N615" s="42"/>
      <c r="O615" s="42"/>
    </row>
    <row r="616" spans="14:15" x14ac:dyDescent="0.15">
      <c r="N616" s="42"/>
      <c r="O616" s="42"/>
    </row>
    <row r="617" spans="14:15" x14ac:dyDescent="0.15">
      <c r="N617" s="42"/>
      <c r="O617" s="42"/>
    </row>
    <row r="618" spans="14:15" x14ac:dyDescent="0.15">
      <c r="N618" s="42"/>
      <c r="O618" s="42"/>
    </row>
    <row r="619" spans="14:15" x14ac:dyDescent="0.15">
      <c r="N619" s="42"/>
      <c r="O619" s="42"/>
    </row>
    <row r="620" spans="14:15" x14ac:dyDescent="0.15">
      <c r="N620" s="42"/>
      <c r="O620" s="42"/>
    </row>
    <row r="621" spans="14:15" x14ac:dyDescent="0.15">
      <c r="N621" s="42"/>
      <c r="O621" s="42"/>
    </row>
    <row r="622" spans="14:15" x14ac:dyDescent="0.15">
      <c r="N622" s="42"/>
      <c r="O622" s="42"/>
    </row>
    <row r="623" spans="14:15" x14ac:dyDescent="0.15">
      <c r="N623" s="42"/>
      <c r="O623" s="42"/>
    </row>
    <row r="624" spans="14:15" x14ac:dyDescent="0.15">
      <c r="N624" s="42"/>
      <c r="O624" s="42"/>
    </row>
    <row r="625" spans="14:15" x14ac:dyDescent="0.15">
      <c r="N625" s="42"/>
      <c r="O625" s="42"/>
    </row>
    <row r="626" spans="14:15" x14ac:dyDescent="0.15">
      <c r="N626" s="42"/>
      <c r="O626" s="42"/>
    </row>
    <row r="627" spans="14:15" x14ac:dyDescent="0.15">
      <c r="N627" s="42"/>
      <c r="O627" s="42"/>
    </row>
    <row r="628" spans="14:15" x14ac:dyDescent="0.15">
      <c r="N628" s="42"/>
      <c r="O628" s="42"/>
    </row>
    <row r="629" spans="14:15" x14ac:dyDescent="0.15">
      <c r="N629" s="42"/>
      <c r="O629" s="42"/>
    </row>
    <row r="630" spans="14:15" x14ac:dyDescent="0.15">
      <c r="N630" s="42"/>
      <c r="O630" s="42"/>
    </row>
    <row r="631" spans="14:15" x14ac:dyDescent="0.15">
      <c r="N631" s="42"/>
      <c r="O631" s="42"/>
    </row>
    <row r="632" spans="14:15" x14ac:dyDescent="0.15">
      <c r="N632" s="42"/>
      <c r="O632" s="42"/>
    </row>
    <row r="633" spans="14:15" x14ac:dyDescent="0.15">
      <c r="N633" s="42"/>
      <c r="O633" s="42"/>
    </row>
    <row r="634" spans="14:15" x14ac:dyDescent="0.15">
      <c r="N634" s="42"/>
      <c r="O634" s="42"/>
    </row>
    <row r="635" spans="14:15" x14ac:dyDescent="0.15">
      <c r="N635" s="42"/>
      <c r="O635" s="42"/>
    </row>
    <row r="636" spans="14:15" x14ac:dyDescent="0.15">
      <c r="N636" s="42"/>
      <c r="O636" s="42"/>
    </row>
    <row r="637" spans="14:15" x14ac:dyDescent="0.15">
      <c r="N637" s="42"/>
      <c r="O637" s="42"/>
    </row>
    <row r="638" spans="14:15" x14ac:dyDescent="0.15">
      <c r="N638" s="42"/>
      <c r="O638" s="42"/>
    </row>
    <row r="639" spans="14:15" x14ac:dyDescent="0.15">
      <c r="N639" s="42"/>
      <c r="O639" s="42"/>
    </row>
    <row r="640" spans="14:15" x14ac:dyDescent="0.15">
      <c r="N640" s="42"/>
      <c r="O640" s="42"/>
    </row>
    <row r="641" spans="14:15" x14ac:dyDescent="0.15">
      <c r="N641" s="42"/>
      <c r="O641" s="42"/>
    </row>
    <row r="642" spans="14:15" x14ac:dyDescent="0.15">
      <c r="N642" s="42"/>
      <c r="O642" s="42"/>
    </row>
    <row r="643" spans="14:15" x14ac:dyDescent="0.15">
      <c r="N643" s="42"/>
      <c r="O643" s="42"/>
    </row>
    <row r="644" spans="14:15" x14ac:dyDescent="0.15">
      <c r="N644" s="42"/>
      <c r="O644" s="42"/>
    </row>
    <row r="645" spans="14:15" x14ac:dyDescent="0.15">
      <c r="N645" s="42"/>
      <c r="O645" s="42"/>
    </row>
    <row r="646" spans="14:15" x14ac:dyDescent="0.15">
      <c r="N646" s="42"/>
      <c r="O646" s="42"/>
    </row>
    <row r="647" spans="14:15" x14ac:dyDescent="0.15">
      <c r="N647" s="42"/>
      <c r="O647" s="42"/>
    </row>
    <row r="648" spans="14:15" x14ac:dyDescent="0.15">
      <c r="N648" s="42"/>
      <c r="O648" s="42"/>
    </row>
    <row r="649" spans="14:15" x14ac:dyDescent="0.15">
      <c r="N649" s="42"/>
      <c r="O649" s="42"/>
    </row>
    <row r="650" spans="14:15" x14ac:dyDescent="0.15">
      <c r="N650" s="42"/>
      <c r="O650" s="42"/>
    </row>
    <row r="651" spans="14:15" x14ac:dyDescent="0.15">
      <c r="N651" s="42"/>
      <c r="O651" s="42"/>
    </row>
    <row r="652" spans="14:15" x14ac:dyDescent="0.15">
      <c r="N652" s="42"/>
      <c r="O652" s="42"/>
    </row>
    <row r="653" spans="14:15" x14ac:dyDescent="0.15">
      <c r="N653" s="42"/>
      <c r="O653" s="42"/>
    </row>
    <row r="654" spans="14:15" x14ac:dyDescent="0.15">
      <c r="N654" s="42"/>
      <c r="O654" s="42"/>
    </row>
    <row r="655" spans="14:15" x14ac:dyDescent="0.15">
      <c r="N655" s="42"/>
      <c r="O655" s="42"/>
    </row>
    <row r="656" spans="14:15" x14ac:dyDescent="0.15">
      <c r="N656" s="42"/>
      <c r="O656" s="42"/>
    </row>
    <row r="657" spans="14:15" x14ac:dyDescent="0.15">
      <c r="N657" s="42"/>
      <c r="O657" s="42"/>
    </row>
    <row r="658" spans="14:15" x14ac:dyDescent="0.15">
      <c r="N658" s="42"/>
      <c r="O658" s="42"/>
    </row>
    <row r="659" spans="14:15" x14ac:dyDescent="0.15">
      <c r="N659" s="42"/>
      <c r="O659" s="42"/>
    </row>
    <row r="660" spans="14:15" x14ac:dyDescent="0.15">
      <c r="N660" s="42"/>
      <c r="O660" s="42"/>
    </row>
    <row r="661" spans="14:15" x14ac:dyDescent="0.15">
      <c r="N661" s="42"/>
      <c r="O661" s="42"/>
    </row>
    <row r="662" spans="14:15" x14ac:dyDescent="0.15">
      <c r="N662" s="42"/>
      <c r="O662" s="42"/>
    </row>
    <row r="663" spans="14:15" x14ac:dyDescent="0.15">
      <c r="N663" s="42"/>
      <c r="O663" s="42"/>
    </row>
    <row r="664" spans="14:15" x14ac:dyDescent="0.15">
      <c r="N664" s="42"/>
      <c r="O664" s="42"/>
    </row>
    <row r="665" spans="14:15" x14ac:dyDescent="0.15">
      <c r="N665" s="42"/>
      <c r="O665" s="42"/>
    </row>
    <row r="666" spans="14:15" x14ac:dyDescent="0.15">
      <c r="N666" s="42"/>
      <c r="O666" s="42"/>
    </row>
    <row r="667" spans="14:15" x14ac:dyDescent="0.15">
      <c r="N667" s="42"/>
      <c r="O667" s="42"/>
    </row>
    <row r="668" spans="14:15" x14ac:dyDescent="0.15">
      <c r="N668" s="42"/>
      <c r="O668" s="42"/>
    </row>
    <row r="669" spans="14:15" x14ac:dyDescent="0.15">
      <c r="N669" s="42"/>
      <c r="O669" s="42"/>
    </row>
    <row r="670" spans="14:15" x14ac:dyDescent="0.15">
      <c r="N670" s="42"/>
      <c r="O670" s="42"/>
    </row>
    <row r="671" spans="14:15" x14ac:dyDescent="0.15">
      <c r="N671" s="42"/>
      <c r="O671" s="42"/>
    </row>
    <row r="672" spans="14:15" x14ac:dyDescent="0.15">
      <c r="N672" s="42"/>
      <c r="O672" s="42"/>
    </row>
    <row r="673" spans="14:15" x14ac:dyDescent="0.15">
      <c r="N673" s="42"/>
      <c r="O673" s="42"/>
    </row>
    <row r="674" spans="14:15" x14ac:dyDescent="0.15">
      <c r="N674" s="42"/>
      <c r="O674" s="42"/>
    </row>
    <row r="675" spans="14:15" x14ac:dyDescent="0.15">
      <c r="N675" s="42"/>
      <c r="O675" s="42"/>
    </row>
    <row r="676" spans="14:15" x14ac:dyDescent="0.15">
      <c r="N676" s="42"/>
      <c r="O676" s="42"/>
    </row>
    <row r="677" spans="14:15" x14ac:dyDescent="0.15">
      <c r="N677" s="42"/>
      <c r="O677" s="42"/>
    </row>
    <row r="678" spans="14:15" x14ac:dyDescent="0.15">
      <c r="N678" s="42"/>
      <c r="O678" s="42"/>
    </row>
    <row r="679" spans="14:15" x14ac:dyDescent="0.15">
      <c r="N679" s="42"/>
      <c r="O679" s="42"/>
    </row>
    <row r="680" spans="14:15" x14ac:dyDescent="0.15">
      <c r="N680" s="42"/>
      <c r="O680" s="42"/>
    </row>
    <row r="681" spans="14:15" x14ac:dyDescent="0.15">
      <c r="N681" s="42"/>
      <c r="O681" s="42"/>
    </row>
    <row r="682" spans="14:15" x14ac:dyDescent="0.15">
      <c r="N682" s="42"/>
      <c r="O682" s="42"/>
    </row>
    <row r="683" spans="14:15" x14ac:dyDescent="0.15">
      <c r="N683" s="42"/>
      <c r="O683" s="42"/>
    </row>
    <row r="684" spans="14:15" x14ac:dyDescent="0.15">
      <c r="N684" s="42"/>
      <c r="O684" s="42"/>
    </row>
    <row r="685" spans="14:15" x14ac:dyDescent="0.15">
      <c r="N685" s="42"/>
      <c r="O685" s="42"/>
    </row>
    <row r="686" spans="14:15" x14ac:dyDescent="0.15">
      <c r="N686" s="42"/>
      <c r="O686" s="42"/>
    </row>
    <row r="687" spans="14:15" x14ac:dyDescent="0.15">
      <c r="N687" s="42"/>
      <c r="O687" s="42"/>
    </row>
    <row r="688" spans="14:15" x14ac:dyDescent="0.15">
      <c r="N688" s="42"/>
      <c r="O688" s="42"/>
    </row>
    <row r="689" spans="14:15" x14ac:dyDescent="0.15">
      <c r="N689" s="42"/>
      <c r="O689" s="42"/>
    </row>
    <row r="690" spans="14:15" x14ac:dyDescent="0.15">
      <c r="N690" s="42"/>
      <c r="O690" s="42"/>
    </row>
    <row r="691" spans="14:15" x14ac:dyDescent="0.15">
      <c r="N691" s="42"/>
      <c r="O691" s="42"/>
    </row>
    <row r="692" spans="14:15" x14ac:dyDescent="0.15">
      <c r="N692" s="42"/>
      <c r="O692" s="42"/>
    </row>
    <row r="693" spans="14:15" x14ac:dyDescent="0.15">
      <c r="N693" s="42"/>
      <c r="O693" s="42"/>
    </row>
    <row r="694" spans="14:15" x14ac:dyDescent="0.15">
      <c r="N694" s="42"/>
      <c r="O694" s="42"/>
    </row>
    <row r="695" spans="14:15" x14ac:dyDescent="0.15">
      <c r="N695" s="42"/>
      <c r="O695" s="42"/>
    </row>
    <row r="696" spans="14:15" x14ac:dyDescent="0.15">
      <c r="N696" s="42"/>
      <c r="O696" s="42"/>
    </row>
    <row r="697" spans="14:15" x14ac:dyDescent="0.15">
      <c r="N697" s="42"/>
      <c r="O697" s="42"/>
    </row>
    <row r="698" spans="14:15" x14ac:dyDescent="0.15">
      <c r="N698" s="42"/>
      <c r="O698" s="42"/>
    </row>
    <row r="699" spans="14:15" x14ac:dyDescent="0.15">
      <c r="N699" s="42"/>
      <c r="O699" s="42"/>
    </row>
    <row r="700" spans="14:15" x14ac:dyDescent="0.15">
      <c r="N700" s="42"/>
      <c r="O700" s="42"/>
    </row>
    <row r="701" spans="14:15" x14ac:dyDescent="0.15">
      <c r="N701" s="42"/>
      <c r="O701" s="42"/>
    </row>
    <row r="702" spans="14:15" x14ac:dyDescent="0.15">
      <c r="N702" s="42"/>
      <c r="O702" s="42"/>
    </row>
    <row r="703" spans="14:15" x14ac:dyDescent="0.15">
      <c r="N703" s="42"/>
      <c r="O703" s="42"/>
    </row>
    <row r="704" spans="14:15" x14ac:dyDescent="0.15">
      <c r="N704" s="42"/>
      <c r="O704" s="42"/>
    </row>
    <row r="705" spans="14:15" x14ac:dyDescent="0.15">
      <c r="N705" s="42"/>
      <c r="O705" s="42"/>
    </row>
    <row r="706" spans="14:15" x14ac:dyDescent="0.15">
      <c r="N706" s="42"/>
      <c r="O706" s="42"/>
    </row>
    <row r="707" spans="14:15" x14ac:dyDescent="0.15">
      <c r="N707" s="42"/>
      <c r="O707" s="42"/>
    </row>
    <row r="708" spans="14:15" x14ac:dyDescent="0.15">
      <c r="N708" s="42"/>
      <c r="O708" s="42"/>
    </row>
    <row r="709" spans="14:15" x14ac:dyDescent="0.15">
      <c r="N709" s="42"/>
      <c r="O709" s="42"/>
    </row>
    <row r="710" spans="14:15" x14ac:dyDescent="0.15">
      <c r="N710" s="42"/>
      <c r="O710" s="42"/>
    </row>
    <row r="711" spans="14:15" x14ac:dyDescent="0.15">
      <c r="N711" s="42"/>
      <c r="O711" s="42"/>
    </row>
    <row r="712" spans="14:15" x14ac:dyDescent="0.15">
      <c r="N712" s="42"/>
      <c r="O712" s="42"/>
    </row>
    <row r="713" spans="14:15" x14ac:dyDescent="0.15">
      <c r="N713" s="42"/>
      <c r="O713" s="42"/>
    </row>
    <row r="714" spans="14:15" x14ac:dyDescent="0.15">
      <c r="N714" s="42"/>
      <c r="O714" s="42"/>
    </row>
    <row r="715" spans="14:15" x14ac:dyDescent="0.15">
      <c r="N715" s="42"/>
      <c r="O715" s="42"/>
    </row>
    <row r="716" spans="14:15" x14ac:dyDescent="0.15">
      <c r="N716" s="42"/>
      <c r="O716" s="42"/>
    </row>
    <row r="717" spans="14:15" x14ac:dyDescent="0.15">
      <c r="N717" s="42"/>
      <c r="O717" s="42"/>
    </row>
    <row r="718" spans="14:15" x14ac:dyDescent="0.15">
      <c r="N718" s="42"/>
      <c r="O718" s="42"/>
    </row>
    <row r="719" spans="14:15" x14ac:dyDescent="0.15">
      <c r="N719" s="42"/>
      <c r="O719" s="42"/>
    </row>
    <row r="720" spans="14:15" x14ac:dyDescent="0.15">
      <c r="N720" s="42"/>
      <c r="O720" s="42"/>
    </row>
    <row r="721" spans="14:15" x14ac:dyDescent="0.15">
      <c r="N721" s="42"/>
      <c r="O721" s="42"/>
    </row>
    <row r="722" spans="14:15" x14ac:dyDescent="0.15">
      <c r="N722" s="42"/>
      <c r="O722" s="42"/>
    </row>
    <row r="723" spans="14:15" x14ac:dyDescent="0.15">
      <c r="N723" s="42"/>
      <c r="O723" s="42"/>
    </row>
    <row r="724" spans="14:15" x14ac:dyDescent="0.15">
      <c r="N724" s="42"/>
      <c r="O724" s="42"/>
    </row>
    <row r="725" spans="14:15" x14ac:dyDescent="0.15">
      <c r="N725" s="42"/>
      <c r="O725" s="42"/>
    </row>
    <row r="726" spans="14:15" x14ac:dyDescent="0.15">
      <c r="N726" s="42"/>
      <c r="O726" s="42"/>
    </row>
    <row r="727" spans="14:15" x14ac:dyDescent="0.15">
      <c r="N727" s="42"/>
      <c r="O727" s="42"/>
    </row>
    <row r="728" spans="14:15" x14ac:dyDescent="0.15">
      <c r="N728" s="42"/>
      <c r="O728" s="42"/>
    </row>
    <row r="729" spans="14:15" x14ac:dyDescent="0.15">
      <c r="N729" s="42"/>
      <c r="O729" s="42"/>
    </row>
    <row r="730" spans="14:15" x14ac:dyDescent="0.15">
      <c r="N730" s="42"/>
      <c r="O730" s="42"/>
    </row>
    <row r="731" spans="14:15" x14ac:dyDescent="0.15">
      <c r="N731" s="42"/>
      <c r="O731" s="42"/>
    </row>
    <row r="732" spans="14:15" x14ac:dyDescent="0.15">
      <c r="N732" s="42"/>
      <c r="O732" s="42"/>
    </row>
    <row r="733" spans="14:15" x14ac:dyDescent="0.15">
      <c r="N733" s="42"/>
      <c r="O733" s="42"/>
    </row>
    <row r="734" spans="14:15" x14ac:dyDescent="0.15">
      <c r="N734" s="42"/>
      <c r="O734" s="42"/>
    </row>
    <row r="735" spans="14:15" x14ac:dyDescent="0.15">
      <c r="N735" s="42"/>
      <c r="O735" s="42"/>
    </row>
    <row r="736" spans="14:15" x14ac:dyDescent="0.15">
      <c r="N736" s="42"/>
      <c r="O736" s="42"/>
    </row>
    <row r="737" spans="14:15" x14ac:dyDescent="0.15">
      <c r="N737" s="42"/>
      <c r="O737" s="42"/>
    </row>
    <row r="738" spans="14:15" x14ac:dyDescent="0.15">
      <c r="N738" s="42"/>
      <c r="O738" s="42"/>
    </row>
    <row r="739" spans="14:15" x14ac:dyDescent="0.15">
      <c r="N739" s="42"/>
      <c r="O739" s="42"/>
    </row>
    <row r="740" spans="14:15" x14ac:dyDescent="0.15">
      <c r="N740" s="42"/>
      <c r="O740" s="42"/>
    </row>
    <row r="741" spans="14:15" x14ac:dyDescent="0.15">
      <c r="N741" s="42"/>
      <c r="O741" s="42"/>
    </row>
    <row r="742" spans="14:15" x14ac:dyDescent="0.15">
      <c r="N742" s="42"/>
      <c r="O742" s="42"/>
    </row>
    <row r="743" spans="14:15" x14ac:dyDescent="0.15">
      <c r="N743" s="42"/>
      <c r="O743" s="42"/>
    </row>
    <row r="744" spans="14:15" x14ac:dyDescent="0.15">
      <c r="N744" s="42"/>
      <c r="O744" s="42"/>
    </row>
    <row r="745" spans="14:15" x14ac:dyDescent="0.15">
      <c r="N745" s="42"/>
      <c r="O745" s="42"/>
    </row>
    <row r="746" spans="14:15" x14ac:dyDescent="0.15">
      <c r="N746" s="42"/>
      <c r="O746" s="42"/>
    </row>
    <row r="747" spans="14:15" x14ac:dyDescent="0.15">
      <c r="N747" s="42"/>
      <c r="O747" s="42"/>
    </row>
    <row r="748" spans="14:15" x14ac:dyDescent="0.15">
      <c r="N748" s="42"/>
      <c r="O748" s="42"/>
    </row>
    <row r="749" spans="14:15" x14ac:dyDescent="0.15">
      <c r="N749" s="42"/>
      <c r="O749" s="42"/>
    </row>
    <row r="750" spans="14:15" x14ac:dyDescent="0.15">
      <c r="N750" s="42"/>
      <c r="O750" s="42"/>
    </row>
    <row r="751" spans="14:15" x14ac:dyDescent="0.15">
      <c r="N751" s="42"/>
      <c r="O751" s="42"/>
    </row>
    <row r="752" spans="14:15" x14ac:dyDescent="0.15">
      <c r="N752" s="42"/>
      <c r="O752" s="42"/>
    </row>
    <row r="753" spans="14:15" x14ac:dyDescent="0.15">
      <c r="N753" s="42"/>
      <c r="O753" s="42"/>
    </row>
    <row r="754" spans="14:15" x14ac:dyDescent="0.15">
      <c r="N754" s="42"/>
      <c r="O754" s="42"/>
    </row>
    <row r="755" spans="14:15" x14ac:dyDescent="0.15">
      <c r="N755" s="42"/>
      <c r="O755" s="42"/>
    </row>
    <row r="756" spans="14:15" x14ac:dyDescent="0.15">
      <c r="N756" s="42"/>
      <c r="O756" s="42"/>
    </row>
    <row r="757" spans="14:15" x14ac:dyDescent="0.15">
      <c r="N757" s="42"/>
      <c r="O757" s="42"/>
    </row>
    <row r="758" spans="14:15" x14ac:dyDescent="0.15">
      <c r="N758" s="42"/>
      <c r="O758" s="42"/>
    </row>
    <row r="759" spans="14:15" x14ac:dyDescent="0.15">
      <c r="N759" s="42"/>
      <c r="O759" s="42"/>
    </row>
    <row r="760" spans="14:15" x14ac:dyDescent="0.15">
      <c r="N760" s="42"/>
      <c r="O760" s="42"/>
    </row>
    <row r="761" spans="14:15" x14ac:dyDescent="0.15">
      <c r="N761" s="42"/>
      <c r="O761" s="42"/>
    </row>
    <row r="762" spans="14:15" x14ac:dyDescent="0.15">
      <c r="N762" s="42"/>
      <c r="O762" s="42"/>
    </row>
    <row r="763" spans="14:15" x14ac:dyDescent="0.15">
      <c r="N763" s="42"/>
      <c r="O763" s="42"/>
    </row>
    <row r="764" spans="14:15" x14ac:dyDescent="0.15">
      <c r="N764" s="42"/>
      <c r="O764" s="42"/>
    </row>
    <row r="765" spans="14:15" x14ac:dyDescent="0.15">
      <c r="N765" s="42"/>
      <c r="O765" s="42"/>
    </row>
    <row r="766" spans="14:15" x14ac:dyDescent="0.15">
      <c r="N766" s="42"/>
      <c r="O766" s="42"/>
    </row>
    <row r="767" spans="14:15" x14ac:dyDescent="0.15">
      <c r="N767" s="42"/>
      <c r="O767" s="42"/>
    </row>
    <row r="768" spans="14:15" x14ac:dyDescent="0.15">
      <c r="N768" s="42"/>
      <c r="O768" s="42"/>
    </row>
    <row r="769" spans="14:15" x14ac:dyDescent="0.15">
      <c r="N769" s="42"/>
      <c r="O769" s="42"/>
    </row>
    <row r="770" spans="14:15" x14ac:dyDescent="0.15">
      <c r="N770" s="42"/>
      <c r="O770" s="42"/>
    </row>
    <row r="771" spans="14:15" x14ac:dyDescent="0.15">
      <c r="N771" s="42"/>
      <c r="O771" s="42"/>
    </row>
    <row r="772" spans="14:15" x14ac:dyDescent="0.15">
      <c r="N772" s="42"/>
      <c r="O772" s="42"/>
    </row>
    <row r="773" spans="14:15" x14ac:dyDescent="0.15">
      <c r="N773" s="42"/>
      <c r="O773" s="42"/>
    </row>
    <row r="774" spans="14:15" x14ac:dyDescent="0.15">
      <c r="N774" s="42"/>
      <c r="O774" s="42"/>
    </row>
    <row r="775" spans="14:15" x14ac:dyDescent="0.15">
      <c r="N775" s="42"/>
      <c r="O775" s="42"/>
    </row>
    <row r="776" spans="14:15" x14ac:dyDescent="0.15">
      <c r="N776" s="42"/>
      <c r="O776" s="42"/>
    </row>
    <row r="777" spans="14:15" x14ac:dyDescent="0.15">
      <c r="N777" s="42"/>
      <c r="O777" s="42"/>
    </row>
    <row r="778" spans="14:15" x14ac:dyDescent="0.15">
      <c r="N778" s="42"/>
      <c r="O778" s="42"/>
    </row>
    <row r="779" spans="14:15" x14ac:dyDescent="0.15">
      <c r="N779" s="42"/>
      <c r="O779" s="42"/>
    </row>
    <row r="780" spans="14:15" x14ac:dyDescent="0.15">
      <c r="N780" s="42"/>
      <c r="O780" s="42"/>
    </row>
    <row r="781" spans="14:15" x14ac:dyDescent="0.15">
      <c r="N781" s="42"/>
      <c r="O781" s="42"/>
    </row>
    <row r="782" spans="14:15" x14ac:dyDescent="0.15">
      <c r="N782" s="42"/>
      <c r="O782" s="42"/>
    </row>
    <row r="783" spans="14:15" x14ac:dyDescent="0.15">
      <c r="N783" s="42"/>
      <c r="O783" s="42"/>
    </row>
    <row r="784" spans="14:15" x14ac:dyDescent="0.15">
      <c r="N784" s="42"/>
      <c r="O784" s="42"/>
    </row>
    <row r="785" spans="14:15" x14ac:dyDescent="0.15">
      <c r="N785" s="42"/>
      <c r="O785" s="42"/>
    </row>
    <row r="786" spans="14:15" x14ac:dyDescent="0.15">
      <c r="N786" s="42"/>
      <c r="O786" s="42"/>
    </row>
    <row r="787" spans="14:15" x14ac:dyDescent="0.15">
      <c r="N787" s="42"/>
      <c r="O787" s="42"/>
    </row>
    <row r="788" spans="14:15" x14ac:dyDescent="0.15">
      <c r="N788" s="42"/>
      <c r="O788" s="42"/>
    </row>
    <row r="789" spans="14:15" x14ac:dyDescent="0.15">
      <c r="N789" s="42"/>
      <c r="O789" s="42"/>
    </row>
    <row r="790" spans="14:15" x14ac:dyDescent="0.15">
      <c r="N790" s="42"/>
      <c r="O790" s="42"/>
    </row>
    <row r="791" spans="14:15" x14ac:dyDescent="0.15">
      <c r="N791" s="42"/>
      <c r="O791" s="42"/>
    </row>
    <row r="792" spans="14:15" x14ac:dyDescent="0.15">
      <c r="N792" s="42"/>
      <c r="O792" s="42"/>
    </row>
    <row r="793" spans="14:15" x14ac:dyDescent="0.15">
      <c r="N793" s="42"/>
      <c r="O793" s="42"/>
    </row>
    <row r="794" spans="14:15" x14ac:dyDescent="0.15">
      <c r="N794" s="42"/>
      <c r="O794" s="42"/>
    </row>
    <row r="795" spans="14:15" x14ac:dyDescent="0.15">
      <c r="N795" s="42"/>
      <c r="O795" s="42"/>
    </row>
    <row r="796" spans="14:15" x14ac:dyDescent="0.15">
      <c r="N796" s="42"/>
      <c r="O796" s="42"/>
    </row>
    <row r="797" spans="14:15" x14ac:dyDescent="0.15">
      <c r="N797" s="42"/>
      <c r="O797" s="42"/>
    </row>
    <row r="798" spans="14:15" x14ac:dyDescent="0.15">
      <c r="N798" s="42"/>
      <c r="O798" s="42"/>
    </row>
    <row r="799" spans="14:15" x14ac:dyDescent="0.15">
      <c r="N799" s="42"/>
      <c r="O799" s="42"/>
    </row>
    <row r="800" spans="14:15" x14ac:dyDescent="0.15">
      <c r="N800" s="42"/>
      <c r="O800" s="42"/>
    </row>
    <row r="801" spans="14:15" x14ac:dyDescent="0.15">
      <c r="N801" s="42"/>
      <c r="O801" s="42"/>
    </row>
    <row r="802" spans="14:15" x14ac:dyDescent="0.15">
      <c r="N802" s="42"/>
      <c r="O802" s="42"/>
    </row>
    <row r="803" spans="14:15" x14ac:dyDescent="0.15">
      <c r="N803" s="42"/>
      <c r="O803" s="42"/>
    </row>
    <row r="804" spans="14:15" x14ac:dyDescent="0.15">
      <c r="N804" s="42"/>
      <c r="O804" s="42"/>
    </row>
    <row r="805" spans="14:15" x14ac:dyDescent="0.15">
      <c r="N805" s="42"/>
      <c r="O805" s="42"/>
    </row>
    <row r="806" spans="14:15" x14ac:dyDescent="0.15">
      <c r="N806" s="42"/>
      <c r="O806" s="42"/>
    </row>
    <row r="807" spans="14:15" x14ac:dyDescent="0.15">
      <c r="N807" s="42"/>
      <c r="O807" s="42"/>
    </row>
    <row r="808" spans="14:15" x14ac:dyDescent="0.15">
      <c r="N808" s="42"/>
      <c r="O808" s="42"/>
    </row>
    <row r="809" spans="14:15" x14ac:dyDescent="0.15">
      <c r="N809" s="42"/>
      <c r="O809" s="42"/>
    </row>
    <row r="810" spans="14:15" x14ac:dyDescent="0.15">
      <c r="N810" s="42"/>
      <c r="O810" s="42"/>
    </row>
    <row r="811" spans="14:15" x14ac:dyDescent="0.15">
      <c r="N811" s="42"/>
      <c r="O811" s="42"/>
    </row>
    <row r="812" spans="14:15" x14ac:dyDescent="0.15">
      <c r="N812" s="42"/>
      <c r="O812" s="42"/>
    </row>
    <row r="813" spans="14:15" x14ac:dyDescent="0.15">
      <c r="N813" s="42"/>
      <c r="O813" s="42"/>
    </row>
    <row r="814" spans="14:15" x14ac:dyDescent="0.15">
      <c r="N814" s="42"/>
      <c r="O814" s="42"/>
    </row>
    <row r="815" spans="14:15" x14ac:dyDescent="0.15">
      <c r="N815" s="42"/>
      <c r="O815" s="42"/>
    </row>
    <row r="816" spans="14:15" x14ac:dyDescent="0.15">
      <c r="N816" s="42"/>
      <c r="O816" s="42"/>
    </row>
    <row r="817" spans="14:15" x14ac:dyDescent="0.15">
      <c r="N817" s="42"/>
      <c r="O817" s="42"/>
    </row>
    <row r="818" spans="14:15" x14ac:dyDescent="0.15">
      <c r="N818" s="42"/>
      <c r="O818" s="42"/>
    </row>
    <row r="819" spans="14:15" x14ac:dyDescent="0.15">
      <c r="N819" s="42"/>
      <c r="O819" s="42"/>
    </row>
    <row r="820" spans="14:15" x14ac:dyDescent="0.15">
      <c r="N820" s="42"/>
      <c r="O820" s="42"/>
    </row>
    <row r="821" spans="14:15" x14ac:dyDescent="0.15">
      <c r="N821" s="42"/>
      <c r="O821" s="42"/>
    </row>
    <row r="822" spans="14:15" x14ac:dyDescent="0.15">
      <c r="N822" s="42"/>
      <c r="O822" s="42"/>
    </row>
    <row r="823" spans="14:15" x14ac:dyDescent="0.15">
      <c r="N823" s="42"/>
      <c r="O823" s="42"/>
    </row>
    <row r="824" spans="14:15" x14ac:dyDescent="0.15">
      <c r="N824" s="42"/>
      <c r="O824" s="42"/>
    </row>
    <row r="825" spans="14:15" x14ac:dyDescent="0.15">
      <c r="N825" s="42"/>
      <c r="O825" s="42"/>
    </row>
    <row r="826" spans="14:15" x14ac:dyDescent="0.15">
      <c r="N826" s="42"/>
      <c r="O826" s="42"/>
    </row>
    <row r="827" spans="14:15" x14ac:dyDescent="0.15">
      <c r="N827" s="42"/>
      <c r="O827" s="42"/>
    </row>
    <row r="828" spans="14:15" x14ac:dyDescent="0.15">
      <c r="N828" s="42"/>
      <c r="O828" s="42"/>
    </row>
    <row r="829" spans="14:15" x14ac:dyDescent="0.15">
      <c r="N829" s="42"/>
      <c r="O829" s="42"/>
    </row>
    <row r="830" spans="14:15" x14ac:dyDescent="0.15">
      <c r="N830" s="42"/>
      <c r="O830" s="42"/>
    </row>
    <row r="831" spans="14:15" x14ac:dyDescent="0.15">
      <c r="N831" s="42"/>
      <c r="O831" s="42"/>
    </row>
    <row r="832" spans="14:15" x14ac:dyDescent="0.15">
      <c r="N832" s="42"/>
      <c r="O832" s="42"/>
    </row>
    <row r="833" spans="14:15" x14ac:dyDescent="0.15">
      <c r="N833" s="42"/>
      <c r="O833" s="42"/>
    </row>
    <row r="834" spans="14:15" x14ac:dyDescent="0.15">
      <c r="N834" s="42"/>
      <c r="O834" s="42"/>
    </row>
    <row r="835" spans="14:15" x14ac:dyDescent="0.15">
      <c r="N835" s="42"/>
      <c r="O835" s="42"/>
    </row>
    <row r="836" spans="14:15" x14ac:dyDescent="0.15">
      <c r="N836" s="42"/>
      <c r="O836" s="42"/>
    </row>
    <row r="837" spans="14:15" x14ac:dyDescent="0.15">
      <c r="N837" s="42"/>
      <c r="O837" s="42"/>
    </row>
    <row r="838" spans="14:15" x14ac:dyDescent="0.15">
      <c r="N838" s="42"/>
      <c r="O838" s="42"/>
    </row>
    <row r="839" spans="14:15" x14ac:dyDescent="0.15">
      <c r="N839" s="42"/>
      <c r="O839" s="42"/>
    </row>
    <row r="840" spans="14:15" x14ac:dyDescent="0.15">
      <c r="N840" s="42"/>
      <c r="O840" s="42"/>
    </row>
    <row r="841" spans="14:15" x14ac:dyDescent="0.15">
      <c r="N841" s="42"/>
      <c r="O841" s="42"/>
    </row>
    <row r="842" spans="14:15" x14ac:dyDescent="0.15">
      <c r="N842" s="42"/>
      <c r="O842" s="42"/>
    </row>
    <row r="843" spans="14:15" x14ac:dyDescent="0.15">
      <c r="N843" s="42"/>
      <c r="O843" s="42"/>
    </row>
    <row r="844" spans="14:15" x14ac:dyDescent="0.15">
      <c r="N844" s="42"/>
      <c r="O844" s="42"/>
    </row>
    <row r="845" spans="14:15" x14ac:dyDescent="0.15">
      <c r="N845" s="42"/>
      <c r="O845" s="42"/>
    </row>
    <row r="846" spans="14:15" x14ac:dyDescent="0.15">
      <c r="N846" s="42"/>
      <c r="O846" s="42"/>
    </row>
    <row r="847" spans="14:15" x14ac:dyDescent="0.15">
      <c r="N847" s="42"/>
      <c r="O847" s="42"/>
    </row>
    <row r="848" spans="14:15" x14ac:dyDescent="0.15">
      <c r="N848" s="42"/>
      <c r="O848" s="42"/>
    </row>
    <row r="849" spans="14:15" x14ac:dyDescent="0.15">
      <c r="N849" s="42"/>
      <c r="O849" s="42"/>
    </row>
    <row r="850" spans="14:15" x14ac:dyDescent="0.15">
      <c r="N850" s="42"/>
      <c r="O850" s="42"/>
    </row>
    <row r="851" spans="14:15" x14ac:dyDescent="0.15">
      <c r="N851" s="42"/>
      <c r="O851" s="42"/>
    </row>
    <row r="852" spans="14:15" x14ac:dyDescent="0.15">
      <c r="N852" s="42"/>
      <c r="O852" s="42"/>
    </row>
    <row r="853" spans="14:15" x14ac:dyDescent="0.15">
      <c r="N853" s="42"/>
      <c r="O853" s="42"/>
    </row>
    <row r="854" spans="14:15" x14ac:dyDescent="0.15">
      <c r="N854" s="42"/>
      <c r="O854" s="42"/>
    </row>
    <row r="855" spans="14:15" x14ac:dyDescent="0.15">
      <c r="N855" s="42"/>
      <c r="O855" s="42"/>
    </row>
    <row r="856" spans="14:15" x14ac:dyDescent="0.15">
      <c r="N856" s="42"/>
      <c r="O856" s="42"/>
    </row>
    <row r="857" spans="14:15" x14ac:dyDescent="0.15">
      <c r="N857" s="42"/>
      <c r="O857" s="42"/>
    </row>
    <row r="858" spans="14:15" x14ac:dyDescent="0.15">
      <c r="N858" s="42"/>
      <c r="O858" s="42"/>
    </row>
    <row r="859" spans="14:15" x14ac:dyDescent="0.15">
      <c r="N859" s="42"/>
      <c r="O859" s="42"/>
    </row>
    <row r="860" spans="14:15" x14ac:dyDescent="0.15">
      <c r="N860" s="42"/>
      <c r="O860" s="42"/>
    </row>
    <row r="861" spans="14:15" x14ac:dyDescent="0.15">
      <c r="N861" s="42"/>
      <c r="O861" s="42"/>
    </row>
    <row r="862" spans="14:15" x14ac:dyDescent="0.15">
      <c r="N862" s="42"/>
      <c r="O862" s="42"/>
    </row>
    <row r="863" spans="14:15" x14ac:dyDescent="0.15">
      <c r="N863" s="42"/>
      <c r="O863" s="42"/>
    </row>
    <row r="864" spans="14:15" x14ac:dyDescent="0.15">
      <c r="N864" s="42"/>
      <c r="O864" s="42"/>
    </row>
    <row r="865" spans="14:15" x14ac:dyDescent="0.15">
      <c r="N865" s="42"/>
      <c r="O865" s="42"/>
    </row>
    <row r="866" spans="14:15" x14ac:dyDescent="0.15">
      <c r="N866" s="42"/>
      <c r="O866" s="42"/>
    </row>
    <row r="867" spans="14:15" x14ac:dyDescent="0.15">
      <c r="N867" s="42"/>
      <c r="O867" s="42"/>
    </row>
    <row r="868" spans="14:15" x14ac:dyDescent="0.15">
      <c r="N868" s="42"/>
      <c r="O868" s="42"/>
    </row>
    <row r="869" spans="14:15" x14ac:dyDescent="0.15">
      <c r="N869" s="42"/>
      <c r="O869" s="42"/>
    </row>
    <row r="870" spans="14:15" x14ac:dyDescent="0.15">
      <c r="N870" s="42"/>
      <c r="O870" s="42"/>
    </row>
    <row r="871" spans="14:15" x14ac:dyDescent="0.15">
      <c r="N871" s="42"/>
      <c r="O871" s="42"/>
    </row>
    <row r="872" spans="14:15" x14ac:dyDescent="0.15">
      <c r="N872" s="42"/>
      <c r="O872" s="42"/>
    </row>
    <row r="873" spans="14:15" x14ac:dyDescent="0.15">
      <c r="N873" s="42"/>
      <c r="O873" s="42"/>
    </row>
    <row r="874" spans="14:15" x14ac:dyDescent="0.15">
      <c r="N874" s="42"/>
      <c r="O874" s="42"/>
    </row>
    <row r="875" spans="14:15" x14ac:dyDescent="0.15">
      <c r="N875" s="42"/>
      <c r="O875" s="42"/>
    </row>
    <row r="876" spans="14:15" x14ac:dyDescent="0.15">
      <c r="N876" s="42"/>
      <c r="O876" s="42"/>
    </row>
    <row r="877" spans="14:15" x14ac:dyDescent="0.15">
      <c r="N877" s="42"/>
      <c r="O877" s="42"/>
    </row>
    <row r="878" spans="14:15" x14ac:dyDescent="0.15">
      <c r="N878" s="42"/>
      <c r="O878" s="42"/>
    </row>
    <row r="879" spans="14:15" x14ac:dyDescent="0.15">
      <c r="N879" s="42"/>
      <c r="O879" s="42"/>
    </row>
    <row r="880" spans="14:15" x14ac:dyDescent="0.15">
      <c r="N880" s="42"/>
      <c r="O880" s="42"/>
    </row>
    <row r="881" spans="14:15" x14ac:dyDescent="0.15">
      <c r="N881" s="42"/>
      <c r="O881" s="42"/>
    </row>
    <row r="882" spans="14:15" x14ac:dyDescent="0.15">
      <c r="N882" s="42"/>
      <c r="O882" s="42"/>
    </row>
    <row r="883" spans="14:15" x14ac:dyDescent="0.15">
      <c r="N883" s="42"/>
      <c r="O883" s="42"/>
    </row>
    <row r="884" spans="14:15" x14ac:dyDescent="0.15">
      <c r="N884" s="42"/>
      <c r="O884" s="42"/>
    </row>
    <row r="885" spans="14:15" x14ac:dyDescent="0.15">
      <c r="N885" s="42"/>
      <c r="O885" s="42"/>
    </row>
    <row r="886" spans="14:15" x14ac:dyDescent="0.15">
      <c r="N886" s="42"/>
      <c r="O886" s="42"/>
    </row>
    <row r="887" spans="14:15" x14ac:dyDescent="0.15">
      <c r="N887" s="42"/>
      <c r="O887" s="42"/>
    </row>
    <row r="888" spans="14:15" x14ac:dyDescent="0.15">
      <c r="N888" s="42"/>
      <c r="O888" s="42"/>
    </row>
    <row r="889" spans="14:15" x14ac:dyDescent="0.15">
      <c r="N889" s="42"/>
      <c r="O889" s="42"/>
    </row>
    <row r="890" spans="14:15" x14ac:dyDescent="0.15">
      <c r="N890" s="42"/>
      <c r="O890" s="42"/>
    </row>
    <row r="891" spans="14:15" x14ac:dyDescent="0.15">
      <c r="N891" s="42"/>
      <c r="O891" s="42"/>
    </row>
    <row r="892" spans="14:15" x14ac:dyDescent="0.15">
      <c r="N892" s="42"/>
      <c r="O892" s="42"/>
    </row>
    <row r="893" spans="14:15" x14ac:dyDescent="0.15">
      <c r="N893" s="42"/>
      <c r="O893" s="42"/>
    </row>
    <row r="894" spans="14:15" x14ac:dyDescent="0.15">
      <c r="N894" s="42"/>
      <c r="O894" s="42"/>
    </row>
    <row r="895" spans="14:15" x14ac:dyDescent="0.15">
      <c r="N895" s="42"/>
      <c r="O895" s="42"/>
    </row>
    <row r="896" spans="14:15" x14ac:dyDescent="0.15">
      <c r="N896" s="42"/>
      <c r="O896" s="42"/>
    </row>
    <row r="897" spans="14:15" x14ac:dyDescent="0.15">
      <c r="N897" s="42"/>
      <c r="O897" s="42"/>
    </row>
    <row r="898" spans="14:15" x14ac:dyDescent="0.15">
      <c r="N898" s="42"/>
      <c r="O898" s="42"/>
    </row>
    <row r="899" spans="14:15" x14ac:dyDescent="0.15">
      <c r="N899" s="42"/>
      <c r="O899" s="42"/>
    </row>
    <row r="900" spans="14:15" x14ac:dyDescent="0.15">
      <c r="N900" s="42"/>
      <c r="O900" s="42"/>
    </row>
    <row r="901" spans="14:15" x14ac:dyDescent="0.15">
      <c r="N901" s="42"/>
      <c r="O901" s="42"/>
    </row>
    <row r="902" spans="14:15" x14ac:dyDescent="0.15">
      <c r="N902" s="42"/>
      <c r="O902" s="42"/>
    </row>
    <row r="903" spans="14:15" x14ac:dyDescent="0.15">
      <c r="N903" s="42"/>
      <c r="O903" s="42"/>
    </row>
    <row r="904" spans="14:15" x14ac:dyDescent="0.15">
      <c r="N904" s="42"/>
      <c r="O904" s="42"/>
    </row>
    <row r="905" spans="14:15" x14ac:dyDescent="0.15">
      <c r="N905" s="42"/>
      <c r="O905" s="42"/>
    </row>
    <row r="906" spans="14:15" x14ac:dyDescent="0.15">
      <c r="N906" s="42"/>
      <c r="O906" s="42"/>
    </row>
    <row r="907" spans="14:15" x14ac:dyDescent="0.15">
      <c r="N907" s="42"/>
      <c r="O907" s="42"/>
    </row>
    <row r="908" spans="14:15" x14ac:dyDescent="0.15">
      <c r="N908" s="42"/>
      <c r="O908" s="42"/>
    </row>
    <row r="909" spans="14:15" x14ac:dyDescent="0.15">
      <c r="N909" s="42"/>
      <c r="O909" s="42"/>
    </row>
    <row r="910" spans="14:15" x14ac:dyDescent="0.15">
      <c r="N910" s="42"/>
      <c r="O910" s="42"/>
    </row>
    <row r="911" spans="14:15" x14ac:dyDescent="0.15">
      <c r="N911" s="42"/>
      <c r="O911" s="42"/>
    </row>
    <row r="912" spans="14:15" x14ac:dyDescent="0.15">
      <c r="N912" s="42"/>
      <c r="O912" s="42"/>
    </row>
    <row r="913" spans="14:15" x14ac:dyDescent="0.15">
      <c r="N913" s="42"/>
      <c r="O913" s="42"/>
    </row>
    <row r="914" spans="14:15" x14ac:dyDescent="0.15">
      <c r="N914" s="42"/>
      <c r="O914" s="42"/>
    </row>
    <row r="915" spans="14:15" x14ac:dyDescent="0.15">
      <c r="N915" s="42"/>
      <c r="O915" s="42"/>
    </row>
    <row r="916" spans="14:15" x14ac:dyDescent="0.15">
      <c r="N916" s="42"/>
      <c r="O916" s="42"/>
    </row>
    <row r="917" spans="14:15" x14ac:dyDescent="0.15">
      <c r="N917" s="42"/>
      <c r="O917" s="42"/>
    </row>
    <row r="918" spans="14:15" x14ac:dyDescent="0.15">
      <c r="N918" s="42"/>
      <c r="O918" s="42"/>
    </row>
    <row r="919" spans="14:15" x14ac:dyDescent="0.15">
      <c r="N919" s="42"/>
      <c r="O919" s="42"/>
    </row>
    <row r="920" spans="14:15" x14ac:dyDescent="0.15">
      <c r="N920" s="42"/>
      <c r="O920" s="42"/>
    </row>
    <row r="921" spans="14:15" x14ac:dyDescent="0.15">
      <c r="N921" s="42"/>
      <c r="O921" s="42"/>
    </row>
    <row r="922" spans="14:15" x14ac:dyDescent="0.15">
      <c r="N922" s="42"/>
      <c r="O922" s="42"/>
    </row>
    <row r="923" spans="14:15" x14ac:dyDescent="0.15">
      <c r="N923" s="42"/>
      <c r="O923" s="42"/>
    </row>
    <row r="924" spans="14:15" x14ac:dyDescent="0.15">
      <c r="N924" s="42"/>
      <c r="O924" s="42"/>
    </row>
    <row r="925" spans="14:15" x14ac:dyDescent="0.15">
      <c r="N925" s="42"/>
      <c r="O925" s="42"/>
    </row>
    <row r="926" spans="14:15" x14ac:dyDescent="0.15">
      <c r="N926" s="42"/>
      <c r="O926" s="42"/>
    </row>
    <row r="927" spans="14:15" x14ac:dyDescent="0.15">
      <c r="N927" s="42"/>
      <c r="O927" s="42"/>
    </row>
    <row r="928" spans="14:15" x14ac:dyDescent="0.15">
      <c r="N928" s="42"/>
      <c r="O928" s="42"/>
    </row>
    <row r="929" spans="14:15" x14ac:dyDescent="0.15">
      <c r="N929" s="42"/>
      <c r="O929" s="42"/>
    </row>
    <row r="930" spans="14:15" x14ac:dyDescent="0.15">
      <c r="N930" s="42"/>
      <c r="O930" s="42"/>
    </row>
    <row r="931" spans="14:15" x14ac:dyDescent="0.15">
      <c r="N931" s="42"/>
      <c r="O931" s="42"/>
    </row>
    <row r="932" spans="14:15" x14ac:dyDescent="0.15">
      <c r="N932" s="42"/>
      <c r="O932" s="42"/>
    </row>
    <row r="933" spans="14:15" x14ac:dyDescent="0.15">
      <c r="N933" s="42"/>
      <c r="O933" s="42"/>
    </row>
    <row r="934" spans="14:15" x14ac:dyDescent="0.15">
      <c r="N934" s="42"/>
      <c r="O934" s="42"/>
    </row>
    <row r="935" spans="14:15" x14ac:dyDescent="0.15">
      <c r="N935" s="42"/>
      <c r="O935" s="42"/>
    </row>
    <row r="936" spans="14:15" x14ac:dyDescent="0.15">
      <c r="N936" s="42"/>
      <c r="O936" s="42"/>
    </row>
    <row r="937" spans="14:15" x14ac:dyDescent="0.15">
      <c r="N937" s="42"/>
      <c r="O937" s="42"/>
    </row>
    <row r="938" spans="14:15" x14ac:dyDescent="0.15">
      <c r="N938" s="42"/>
      <c r="O938" s="42"/>
    </row>
    <row r="939" spans="14:15" x14ac:dyDescent="0.15">
      <c r="N939" s="42"/>
      <c r="O939" s="42"/>
    </row>
    <row r="940" spans="14:15" x14ac:dyDescent="0.15">
      <c r="N940" s="42"/>
      <c r="O940" s="42"/>
    </row>
    <row r="941" spans="14:15" x14ac:dyDescent="0.15">
      <c r="N941" s="42"/>
      <c r="O941" s="42"/>
    </row>
    <row r="942" spans="14:15" x14ac:dyDescent="0.15">
      <c r="N942" s="42"/>
      <c r="O942" s="42"/>
    </row>
    <row r="943" spans="14:15" x14ac:dyDescent="0.15">
      <c r="N943" s="42"/>
      <c r="O943" s="42"/>
    </row>
    <row r="944" spans="14:15" x14ac:dyDescent="0.15">
      <c r="N944" s="42"/>
      <c r="O944" s="42"/>
    </row>
    <row r="945" spans="14:15" x14ac:dyDescent="0.15">
      <c r="N945" s="42"/>
      <c r="O945" s="42"/>
    </row>
    <row r="946" spans="14:15" x14ac:dyDescent="0.15">
      <c r="N946" s="42"/>
      <c r="O946" s="42"/>
    </row>
    <row r="947" spans="14:15" x14ac:dyDescent="0.15">
      <c r="N947" s="42"/>
      <c r="O947" s="42"/>
    </row>
    <row r="948" spans="14:15" x14ac:dyDescent="0.15">
      <c r="N948" s="42"/>
      <c r="O948" s="42"/>
    </row>
    <row r="949" spans="14:15" x14ac:dyDescent="0.15">
      <c r="N949" s="42"/>
      <c r="O949" s="42"/>
    </row>
    <row r="950" spans="14:15" x14ac:dyDescent="0.15">
      <c r="N950" s="42"/>
      <c r="O950" s="42"/>
    </row>
    <row r="951" spans="14:15" x14ac:dyDescent="0.15">
      <c r="N951" s="42"/>
      <c r="O951" s="42"/>
    </row>
    <row r="952" spans="14:15" x14ac:dyDescent="0.15">
      <c r="N952" s="42"/>
      <c r="O952" s="42"/>
    </row>
    <row r="953" spans="14:15" x14ac:dyDescent="0.15">
      <c r="N953" s="42"/>
      <c r="O953" s="42"/>
    </row>
    <row r="954" spans="14:15" x14ac:dyDescent="0.15">
      <c r="N954" s="42"/>
      <c r="O954" s="42"/>
    </row>
    <row r="955" spans="14:15" x14ac:dyDescent="0.15">
      <c r="N955" s="42"/>
      <c r="O955" s="42"/>
    </row>
    <row r="956" spans="14:15" x14ac:dyDescent="0.15">
      <c r="N956" s="42"/>
      <c r="O956" s="42"/>
    </row>
    <row r="957" spans="14:15" x14ac:dyDescent="0.15">
      <c r="N957" s="42"/>
      <c r="O957" s="42"/>
    </row>
    <row r="958" spans="14:15" x14ac:dyDescent="0.15">
      <c r="N958" s="42"/>
      <c r="O958" s="42"/>
    </row>
    <row r="959" spans="14:15" x14ac:dyDescent="0.15">
      <c r="N959" s="42"/>
      <c r="O959" s="42"/>
    </row>
    <row r="960" spans="14:15" x14ac:dyDescent="0.15">
      <c r="N960" s="42"/>
      <c r="O960" s="42"/>
    </row>
    <row r="961" spans="14:15" x14ac:dyDescent="0.15">
      <c r="N961" s="42"/>
      <c r="O961" s="42"/>
    </row>
    <row r="962" spans="14:15" x14ac:dyDescent="0.15">
      <c r="N962" s="42"/>
      <c r="O962" s="42"/>
    </row>
    <row r="963" spans="14:15" x14ac:dyDescent="0.15">
      <c r="N963" s="42"/>
      <c r="O963" s="42"/>
    </row>
    <row r="964" spans="14:15" x14ac:dyDescent="0.15">
      <c r="N964" s="42"/>
      <c r="O964" s="42"/>
    </row>
    <row r="965" spans="14:15" x14ac:dyDescent="0.15">
      <c r="N965" s="42"/>
      <c r="O965" s="42"/>
    </row>
    <row r="966" spans="14:15" x14ac:dyDescent="0.15">
      <c r="N966" s="42"/>
      <c r="O966" s="42"/>
    </row>
    <row r="967" spans="14:15" x14ac:dyDescent="0.15">
      <c r="N967" s="42"/>
      <c r="O967" s="42"/>
    </row>
    <row r="968" spans="14:15" x14ac:dyDescent="0.15">
      <c r="N968" s="42"/>
      <c r="O968" s="42"/>
    </row>
    <row r="969" spans="14:15" x14ac:dyDescent="0.15">
      <c r="N969" s="42"/>
      <c r="O969" s="42"/>
    </row>
    <row r="970" spans="14:15" x14ac:dyDescent="0.15">
      <c r="N970" s="42"/>
      <c r="O970" s="42"/>
    </row>
    <row r="971" spans="14:15" x14ac:dyDescent="0.15">
      <c r="N971" s="42"/>
      <c r="O971" s="42"/>
    </row>
    <row r="972" spans="14:15" x14ac:dyDescent="0.15">
      <c r="N972" s="42"/>
      <c r="O972" s="42"/>
    </row>
    <row r="973" spans="14:15" x14ac:dyDescent="0.15">
      <c r="N973" s="42"/>
      <c r="O973" s="42"/>
    </row>
    <row r="974" spans="14:15" x14ac:dyDescent="0.15">
      <c r="N974" s="42"/>
      <c r="O974" s="42"/>
    </row>
    <row r="975" spans="14:15" x14ac:dyDescent="0.15">
      <c r="N975" s="42"/>
      <c r="O975" s="42"/>
    </row>
    <row r="976" spans="14:15" x14ac:dyDescent="0.15">
      <c r="N976" s="42"/>
      <c r="O976" s="42"/>
    </row>
    <row r="977" spans="14:15" x14ac:dyDescent="0.15">
      <c r="N977" s="42"/>
      <c r="O977" s="42"/>
    </row>
    <row r="978" spans="14:15" x14ac:dyDescent="0.15">
      <c r="N978" s="42"/>
      <c r="O978" s="42"/>
    </row>
    <row r="979" spans="14:15" x14ac:dyDescent="0.15">
      <c r="N979" s="42"/>
      <c r="O979" s="42"/>
    </row>
    <row r="980" spans="14:15" x14ac:dyDescent="0.15">
      <c r="N980" s="42"/>
      <c r="O980" s="42"/>
    </row>
    <row r="981" spans="14:15" x14ac:dyDescent="0.15">
      <c r="N981" s="42"/>
      <c r="O981" s="42"/>
    </row>
    <row r="982" spans="14:15" x14ac:dyDescent="0.15">
      <c r="N982" s="42"/>
      <c r="O982" s="42"/>
    </row>
    <row r="983" spans="14:15" x14ac:dyDescent="0.15">
      <c r="N983" s="42"/>
      <c r="O983" s="42"/>
    </row>
    <row r="984" spans="14:15" x14ac:dyDescent="0.15">
      <c r="N984" s="42"/>
      <c r="O984" s="42"/>
    </row>
    <row r="985" spans="14:15" x14ac:dyDescent="0.15">
      <c r="N985" s="42"/>
      <c r="O985" s="42"/>
    </row>
    <row r="986" spans="14:15" x14ac:dyDescent="0.15">
      <c r="N986" s="42"/>
      <c r="O986" s="42"/>
    </row>
    <row r="987" spans="14:15" x14ac:dyDescent="0.15">
      <c r="N987" s="42"/>
      <c r="O987" s="42"/>
    </row>
    <row r="988" spans="14:15" x14ac:dyDescent="0.15">
      <c r="N988" s="42"/>
      <c r="O988" s="42"/>
    </row>
    <row r="989" spans="14:15" x14ac:dyDescent="0.15">
      <c r="N989" s="42"/>
      <c r="O989" s="42"/>
    </row>
    <row r="990" spans="14:15" x14ac:dyDescent="0.15">
      <c r="N990" s="42"/>
      <c r="O990" s="42"/>
    </row>
    <row r="991" spans="14:15" x14ac:dyDescent="0.15">
      <c r="N991" s="42"/>
      <c r="O991" s="42"/>
    </row>
    <row r="992" spans="14:15" x14ac:dyDescent="0.15">
      <c r="N992" s="42"/>
      <c r="O992" s="42"/>
    </row>
    <row r="993" spans="14:15" x14ac:dyDescent="0.15">
      <c r="N993" s="42"/>
      <c r="O993" s="42"/>
    </row>
    <row r="994" spans="14:15" x14ac:dyDescent="0.15">
      <c r="N994" s="42"/>
      <c r="O994" s="42"/>
    </row>
    <row r="995" spans="14:15" x14ac:dyDescent="0.15">
      <c r="N995" s="42"/>
      <c r="O995" s="42"/>
    </row>
    <row r="996" spans="14:15" x14ac:dyDescent="0.15">
      <c r="N996" s="42"/>
      <c r="O996" s="42"/>
    </row>
    <row r="997" spans="14:15" x14ac:dyDescent="0.15">
      <c r="N997" s="42"/>
      <c r="O997" s="42"/>
    </row>
    <row r="998" spans="14:15" x14ac:dyDescent="0.15">
      <c r="N998" s="42"/>
      <c r="O998" s="42"/>
    </row>
    <row r="999" spans="14:15" x14ac:dyDescent="0.15">
      <c r="N999" s="42"/>
      <c r="O999" s="42"/>
    </row>
    <row r="1000" spans="14:15" x14ac:dyDescent="0.15">
      <c r="N1000" s="42"/>
      <c r="O1000" s="42"/>
    </row>
    <row r="1001" spans="14:15" x14ac:dyDescent="0.15">
      <c r="N1001" s="42"/>
      <c r="O1001" s="42"/>
    </row>
    <row r="1002" spans="14:15" x14ac:dyDescent="0.15">
      <c r="N1002" s="42"/>
      <c r="O1002" s="42"/>
    </row>
    <row r="1003" spans="14:15" x14ac:dyDescent="0.15">
      <c r="N1003" s="42"/>
      <c r="O1003" s="42"/>
    </row>
    <row r="1004" spans="14:15" x14ac:dyDescent="0.15">
      <c r="N1004" s="42"/>
      <c r="O1004" s="42"/>
    </row>
    <row r="1005" spans="14:15" x14ac:dyDescent="0.15">
      <c r="N1005" s="42"/>
      <c r="O1005" s="42"/>
    </row>
    <row r="1006" spans="14:15" x14ac:dyDescent="0.15">
      <c r="N1006" s="42"/>
      <c r="O1006" s="42"/>
    </row>
    <row r="1007" spans="14:15" x14ac:dyDescent="0.15">
      <c r="N1007" s="42"/>
      <c r="O1007" s="42"/>
    </row>
    <row r="1008" spans="14:15" x14ac:dyDescent="0.15">
      <c r="N1008" s="42"/>
      <c r="O1008" s="42"/>
    </row>
    <row r="1009" spans="14:15" x14ac:dyDescent="0.15">
      <c r="N1009" s="42"/>
      <c r="O1009" s="42"/>
    </row>
    <row r="1010" spans="14:15" x14ac:dyDescent="0.15">
      <c r="N1010" s="42"/>
      <c r="O1010" s="42"/>
    </row>
    <row r="1011" spans="14:15" x14ac:dyDescent="0.15">
      <c r="N1011" s="42"/>
      <c r="O1011" s="42"/>
    </row>
    <row r="1012" spans="14:15" x14ac:dyDescent="0.15">
      <c r="N1012" s="42"/>
      <c r="O1012" s="42"/>
    </row>
    <row r="1013" spans="14:15" x14ac:dyDescent="0.15">
      <c r="N1013" s="42"/>
      <c r="O1013" s="42"/>
    </row>
    <row r="1014" spans="14:15" x14ac:dyDescent="0.15">
      <c r="N1014" s="42"/>
      <c r="O1014" s="42"/>
    </row>
    <row r="1015" spans="14:15" x14ac:dyDescent="0.15">
      <c r="N1015" s="42"/>
      <c r="O1015" s="42"/>
    </row>
    <row r="1016" spans="14:15" x14ac:dyDescent="0.15">
      <c r="N1016" s="42"/>
      <c r="O1016" s="42"/>
    </row>
    <row r="1017" spans="14:15" x14ac:dyDescent="0.15">
      <c r="N1017" s="42"/>
      <c r="O1017" s="42"/>
    </row>
    <row r="1018" spans="14:15" x14ac:dyDescent="0.15">
      <c r="N1018" s="42"/>
      <c r="O1018" s="42"/>
    </row>
    <row r="1019" spans="14:15" x14ac:dyDescent="0.15">
      <c r="N1019" s="42"/>
      <c r="O1019" s="42"/>
    </row>
    <row r="1020" spans="14:15" x14ac:dyDescent="0.15">
      <c r="N1020" s="42"/>
      <c r="O1020" s="42"/>
    </row>
    <row r="1021" spans="14:15" x14ac:dyDescent="0.15">
      <c r="N1021" s="42"/>
      <c r="O1021" s="42"/>
    </row>
    <row r="1022" spans="14:15" x14ac:dyDescent="0.15">
      <c r="N1022" s="42"/>
      <c r="O1022" s="42"/>
    </row>
    <row r="1023" spans="14:15" x14ac:dyDescent="0.15">
      <c r="N1023" s="42"/>
      <c r="O1023" s="42"/>
    </row>
    <row r="1024" spans="14:15" x14ac:dyDescent="0.15">
      <c r="N1024" s="42"/>
      <c r="O1024" s="42"/>
    </row>
    <row r="1025" spans="14:15" x14ac:dyDescent="0.15">
      <c r="N1025" s="42"/>
      <c r="O1025" s="42"/>
    </row>
    <row r="1026" spans="14:15" x14ac:dyDescent="0.15">
      <c r="N1026" s="42"/>
      <c r="O1026" s="42"/>
    </row>
    <row r="1027" spans="14:15" x14ac:dyDescent="0.15">
      <c r="N1027" s="42"/>
      <c r="O1027" s="42"/>
    </row>
    <row r="1028" spans="14:15" x14ac:dyDescent="0.15">
      <c r="N1028" s="42"/>
      <c r="O1028" s="42"/>
    </row>
    <row r="1029" spans="14:15" x14ac:dyDescent="0.15">
      <c r="N1029" s="42"/>
      <c r="O1029" s="42"/>
    </row>
    <row r="1030" spans="14:15" x14ac:dyDescent="0.15">
      <c r="N1030" s="42"/>
      <c r="O1030" s="42"/>
    </row>
    <row r="1031" spans="14:15" x14ac:dyDescent="0.15">
      <c r="N1031" s="42"/>
      <c r="O1031" s="42"/>
    </row>
    <row r="1032" spans="14:15" x14ac:dyDescent="0.15">
      <c r="N1032" s="42"/>
      <c r="O1032" s="42"/>
    </row>
    <row r="1033" spans="14:15" x14ac:dyDescent="0.15">
      <c r="N1033" s="42"/>
      <c r="O1033" s="42"/>
    </row>
    <row r="1034" spans="14:15" x14ac:dyDescent="0.15">
      <c r="N1034" s="42"/>
      <c r="O1034" s="42"/>
    </row>
    <row r="1035" spans="14:15" x14ac:dyDescent="0.15">
      <c r="N1035" s="42"/>
      <c r="O1035" s="42"/>
    </row>
    <row r="1036" spans="14:15" x14ac:dyDescent="0.15">
      <c r="N1036" s="42"/>
      <c r="O1036" s="42"/>
    </row>
    <row r="1037" spans="14:15" x14ac:dyDescent="0.15">
      <c r="N1037" s="42"/>
      <c r="O1037" s="42"/>
    </row>
    <row r="1038" spans="14:15" x14ac:dyDescent="0.15">
      <c r="N1038" s="42"/>
      <c r="O1038" s="42"/>
    </row>
    <row r="1039" spans="14:15" x14ac:dyDescent="0.15">
      <c r="N1039" s="42"/>
      <c r="O1039" s="42"/>
    </row>
    <row r="1040" spans="14:15" x14ac:dyDescent="0.15">
      <c r="N1040" s="42"/>
      <c r="O1040" s="42"/>
    </row>
    <row r="1041" spans="14:15" x14ac:dyDescent="0.15">
      <c r="N1041" s="42"/>
      <c r="O1041" s="42"/>
    </row>
    <row r="1042" spans="14:15" x14ac:dyDescent="0.15">
      <c r="N1042" s="42"/>
      <c r="O1042" s="42"/>
    </row>
    <row r="1043" spans="14:15" x14ac:dyDescent="0.15">
      <c r="N1043" s="42"/>
      <c r="O1043" s="42"/>
    </row>
    <row r="1044" spans="14:15" x14ac:dyDescent="0.15">
      <c r="N1044" s="42"/>
      <c r="O1044" s="42"/>
    </row>
    <row r="1045" spans="14:15" x14ac:dyDescent="0.15">
      <c r="N1045" s="42"/>
      <c r="O1045" s="42"/>
    </row>
    <row r="1046" spans="14:15" x14ac:dyDescent="0.15">
      <c r="N1046" s="42"/>
      <c r="O1046" s="42"/>
    </row>
    <row r="1047" spans="14:15" x14ac:dyDescent="0.15">
      <c r="N1047" s="42"/>
      <c r="O1047" s="42"/>
    </row>
    <row r="1048" spans="14:15" x14ac:dyDescent="0.15">
      <c r="N1048" s="42"/>
      <c r="O1048" s="42"/>
    </row>
    <row r="1049" spans="14:15" x14ac:dyDescent="0.15">
      <c r="N1049" s="42"/>
      <c r="O1049" s="42"/>
    </row>
    <row r="1050" spans="14:15" x14ac:dyDescent="0.15">
      <c r="N1050" s="42"/>
      <c r="O1050" s="42"/>
    </row>
    <row r="1051" spans="14:15" x14ac:dyDescent="0.15">
      <c r="N1051" s="42"/>
      <c r="O1051" s="42"/>
    </row>
    <row r="1052" spans="14:15" x14ac:dyDescent="0.15">
      <c r="N1052" s="42"/>
      <c r="O1052" s="42"/>
    </row>
    <row r="1053" spans="14:15" x14ac:dyDescent="0.15">
      <c r="N1053" s="42"/>
      <c r="O1053" s="42"/>
    </row>
    <row r="1054" spans="14:15" x14ac:dyDescent="0.15">
      <c r="N1054" s="42"/>
      <c r="O1054" s="42"/>
    </row>
    <row r="1055" spans="14:15" x14ac:dyDescent="0.15">
      <c r="N1055" s="42"/>
      <c r="O1055" s="42"/>
    </row>
    <row r="1056" spans="14:15" x14ac:dyDescent="0.15">
      <c r="N1056" s="42"/>
      <c r="O1056" s="42"/>
    </row>
    <row r="1057" spans="14:15" x14ac:dyDescent="0.15">
      <c r="N1057" s="42"/>
      <c r="O1057" s="42"/>
    </row>
    <row r="1058" spans="14:15" x14ac:dyDescent="0.15">
      <c r="N1058" s="42"/>
      <c r="O1058" s="42"/>
    </row>
    <row r="1059" spans="14:15" x14ac:dyDescent="0.15">
      <c r="N1059" s="42"/>
      <c r="O1059" s="42"/>
    </row>
    <row r="1060" spans="14:15" x14ac:dyDescent="0.15">
      <c r="N1060" s="42"/>
      <c r="O1060" s="42"/>
    </row>
    <row r="1061" spans="14:15" x14ac:dyDescent="0.15">
      <c r="N1061" s="42"/>
      <c r="O1061" s="42"/>
    </row>
    <row r="1062" spans="14:15" x14ac:dyDescent="0.15">
      <c r="N1062" s="42"/>
      <c r="O1062" s="42"/>
    </row>
    <row r="1063" spans="14:15" x14ac:dyDescent="0.15">
      <c r="N1063" s="42"/>
      <c r="O1063" s="42"/>
    </row>
    <row r="1064" spans="14:15" x14ac:dyDescent="0.15">
      <c r="N1064" s="42"/>
      <c r="O1064" s="42"/>
    </row>
    <row r="1065" spans="14:15" x14ac:dyDescent="0.15">
      <c r="N1065" s="42"/>
      <c r="O1065" s="42"/>
    </row>
    <row r="1066" spans="14:15" x14ac:dyDescent="0.15">
      <c r="N1066" s="42"/>
      <c r="O1066" s="42"/>
    </row>
    <row r="1067" spans="14:15" x14ac:dyDescent="0.15">
      <c r="N1067" s="42"/>
      <c r="O1067" s="42"/>
    </row>
    <row r="1068" spans="14:15" x14ac:dyDescent="0.15">
      <c r="N1068" s="42"/>
      <c r="O1068" s="42"/>
    </row>
    <row r="1069" spans="14:15" x14ac:dyDescent="0.15">
      <c r="N1069" s="42"/>
      <c r="O1069" s="42"/>
    </row>
    <row r="1070" spans="14:15" x14ac:dyDescent="0.15">
      <c r="N1070" s="42"/>
      <c r="O1070" s="42"/>
    </row>
    <row r="1071" spans="14:15" x14ac:dyDescent="0.15">
      <c r="N1071" s="42"/>
      <c r="O1071" s="42"/>
    </row>
    <row r="1072" spans="14:15" x14ac:dyDescent="0.15">
      <c r="N1072" s="42"/>
      <c r="O1072" s="42"/>
    </row>
    <row r="1073" spans="14:15" x14ac:dyDescent="0.15">
      <c r="N1073" s="42"/>
      <c r="O1073" s="42"/>
    </row>
    <row r="1074" spans="14:15" x14ac:dyDescent="0.15">
      <c r="N1074" s="42"/>
      <c r="O1074" s="42"/>
    </row>
    <row r="1075" spans="14:15" x14ac:dyDescent="0.15">
      <c r="N1075" s="42"/>
      <c r="O1075" s="42"/>
    </row>
    <row r="1076" spans="14:15" x14ac:dyDescent="0.15">
      <c r="N1076" s="42"/>
      <c r="O1076" s="42"/>
    </row>
    <row r="1077" spans="14:15" x14ac:dyDescent="0.15">
      <c r="N1077" s="42"/>
      <c r="O1077" s="42"/>
    </row>
    <row r="1078" spans="14:15" x14ac:dyDescent="0.15">
      <c r="N1078" s="42"/>
      <c r="O1078" s="42"/>
    </row>
    <row r="1079" spans="14:15" x14ac:dyDescent="0.15">
      <c r="N1079" s="42"/>
      <c r="O1079" s="42"/>
    </row>
    <row r="1080" spans="14:15" x14ac:dyDescent="0.15">
      <c r="N1080" s="42"/>
      <c r="O1080" s="42"/>
    </row>
    <row r="1081" spans="14:15" x14ac:dyDescent="0.15">
      <c r="N1081" s="42"/>
      <c r="O1081" s="42"/>
    </row>
    <row r="1082" spans="14:15" x14ac:dyDescent="0.15">
      <c r="N1082" s="42"/>
      <c r="O1082" s="42"/>
    </row>
    <row r="1083" spans="14:15" x14ac:dyDescent="0.15">
      <c r="N1083" s="42"/>
      <c r="O1083" s="42"/>
    </row>
    <row r="1084" spans="14:15" x14ac:dyDescent="0.15">
      <c r="N1084" s="42"/>
      <c r="O1084" s="42"/>
    </row>
    <row r="1085" spans="14:15" x14ac:dyDescent="0.15">
      <c r="N1085" s="42"/>
      <c r="O1085" s="42"/>
    </row>
    <row r="1086" spans="14:15" x14ac:dyDescent="0.15">
      <c r="N1086" s="42"/>
      <c r="O1086" s="42"/>
    </row>
    <row r="1087" spans="14:15" x14ac:dyDescent="0.15">
      <c r="N1087" s="42"/>
      <c r="O1087" s="42"/>
    </row>
    <row r="1088" spans="14:15" x14ac:dyDescent="0.15">
      <c r="N1088" s="42"/>
      <c r="O1088" s="42"/>
    </row>
    <row r="1089" spans="14:15" x14ac:dyDescent="0.15">
      <c r="N1089" s="42"/>
      <c r="O1089" s="42"/>
    </row>
    <row r="1090" spans="14:15" x14ac:dyDescent="0.15">
      <c r="N1090" s="42"/>
      <c r="O1090" s="42"/>
    </row>
    <row r="1091" spans="14:15" x14ac:dyDescent="0.15">
      <c r="N1091" s="42"/>
      <c r="O1091" s="42"/>
    </row>
    <row r="1092" spans="14:15" x14ac:dyDescent="0.15">
      <c r="N1092" s="42"/>
      <c r="O1092" s="42"/>
    </row>
    <row r="1093" spans="14:15" x14ac:dyDescent="0.15">
      <c r="N1093" s="42"/>
      <c r="O1093" s="42"/>
    </row>
    <row r="1094" spans="14:15" x14ac:dyDescent="0.15">
      <c r="N1094" s="42"/>
      <c r="O1094" s="42"/>
    </row>
    <row r="1095" spans="14:15" x14ac:dyDescent="0.15">
      <c r="N1095" s="42"/>
      <c r="O1095" s="42"/>
    </row>
    <row r="1096" spans="14:15" x14ac:dyDescent="0.15">
      <c r="N1096" s="42"/>
      <c r="O1096" s="42"/>
    </row>
    <row r="1097" spans="14:15" x14ac:dyDescent="0.15">
      <c r="N1097" s="42"/>
      <c r="O1097" s="42"/>
    </row>
    <row r="1098" spans="14:15" x14ac:dyDescent="0.15">
      <c r="N1098" s="42"/>
      <c r="O1098" s="42"/>
    </row>
    <row r="1099" spans="14:15" x14ac:dyDescent="0.15">
      <c r="N1099" s="42"/>
      <c r="O1099" s="42"/>
    </row>
    <row r="1100" spans="14:15" x14ac:dyDescent="0.15">
      <c r="N1100" s="42"/>
      <c r="O1100" s="42"/>
    </row>
    <row r="1101" spans="14:15" x14ac:dyDescent="0.15">
      <c r="N1101" s="42"/>
      <c r="O1101" s="42"/>
    </row>
    <row r="1102" spans="14:15" x14ac:dyDescent="0.15">
      <c r="N1102" s="42"/>
      <c r="O1102" s="42"/>
    </row>
    <row r="1103" spans="14:15" x14ac:dyDescent="0.15">
      <c r="N1103" s="42"/>
      <c r="O1103" s="42"/>
    </row>
    <row r="1104" spans="14:15" x14ac:dyDescent="0.15">
      <c r="N1104" s="42"/>
      <c r="O1104" s="42"/>
    </row>
    <row r="1105" spans="14:15" x14ac:dyDescent="0.15">
      <c r="N1105" s="42"/>
      <c r="O1105" s="42"/>
    </row>
    <row r="1106" spans="14:15" x14ac:dyDescent="0.15">
      <c r="N1106" s="42"/>
      <c r="O1106" s="42"/>
    </row>
    <row r="1107" spans="14:15" x14ac:dyDescent="0.15">
      <c r="N1107" s="42"/>
      <c r="O1107" s="42"/>
    </row>
    <row r="1108" spans="14:15" x14ac:dyDescent="0.15">
      <c r="N1108" s="42"/>
      <c r="O1108" s="42"/>
    </row>
    <row r="1109" spans="14:15" x14ac:dyDescent="0.15">
      <c r="N1109" s="42"/>
      <c r="O1109" s="42"/>
    </row>
    <row r="1110" spans="14:15" x14ac:dyDescent="0.15">
      <c r="N1110" s="42"/>
      <c r="O1110" s="42"/>
    </row>
    <row r="1111" spans="14:15" x14ac:dyDescent="0.15">
      <c r="N1111" s="42"/>
      <c r="O1111" s="42"/>
    </row>
    <row r="1112" spans="14:15" x14ac:dyDescent="0.15">
      <c r="N1112" s="42"/>
      <c r="O1112" s="42"/>
    </row>
    <row r="1113" spans="14:15" x14ac:dyDescent="0.15">
      <c r="N1113" s="42"/>
      <c r="O1113" s="42"/>
    </row>
    <row r="1114" spans="14:15" x14ac:dyDescent="0.15">
      <c r="N1114" s="42"/>
      <c r="O1114" s="42"/>
    </row>
    <row r="1115" spans="14:15" x14ac:dyDescent="0.15">
      <c r="N1115" s="42"/>
      <c r="O1115" s="42"/>
    </row>
    <row r="1116" spans="14:15" x14ac:dyDescent="0.15">
      <c r="N1116" s="42"/>
      <c r="O1116" s="42"/>
    </row>
    <row r="1117" spans="14:15" x14ac:dyDescent="0.15">
      <c r="N1117" s="42"/>
      <c r="O1117" s="42"/>
    </row>
    <row r="1118" spans="14:15" x14ac:dyDescent="0.15">
      <c r="N1118" s="42"/>
      <c r="O1118" s="42"/>
    </row>
    <row r="1119" spans="14:15" x14ac:dyDescent="0.15">
      <c r="N1119" s="42"/>
      <c r="O1119" s="42"/>
    </row>
    <row r="1120" spans="14:15" x14ac:dyDescent="0.15">
      <c r="N1120" s="42"/>
      <c r="O1120" s="42"/>
    </row>
    <row r="1121" spans="14:15" x14ac:dyDescent="0.15">
      <c r="N1121" s="42"/>
      <c r="O1121" s="42"/>
    </row>
    <row r="1122" spans="14:15" x14ac:dyDescent="0.15">
      <c r="N1122" s="42"/>
      <c r="O1122" s="42"/>
    </row>
    <row r="1123" spans="14:15" x14ac:dyDescent="0.15">
      <c r="N1123" s="42"/>
      <c r="O1123" s="42"/>
    </row>
    <row r="1124" spans="14:15" x14ac:dyDescent="0.15">
      <c r="N1124" s="42"/>
      <c r="O1124" s="42"/>
    </row>
    <row r="1125" spans="14:15" x14ac:dyDescent="0.15">
      <c r="N1125" s="42"/>
      <c r="O1125" s="42"/>
    </row>
    <row r="1126" spans="14:15" x14ac:dyDescent="0.15">
      <c r="N1126" s="42"/>
      <c r="O1126" s="42"/>
    </row>
    <row r="1127" spans="14:15" x14ac:dyDescent="0.15">
      <c r="N1127" s="42"/>
      <c r="O1127" s="42"/>
    </row>
    <row r="1128" spans="14:15" x14ac:dyDescent="0.15">
      <c r="N1128" s="42"/>
      <c r="O1128" s="42"/>
    </row>
    <row r="1129" spans="14:15" x14ac:dyDescent="0.15">
      <c r="N1129" s="42"/>
      <c r="O1129" s="42"/>
    </row>
    <row r="1130" spans="14:15" x14ac:dyDescent="0.15">
      <c r="N1130" s="42"/>
      <c r="O1130" s="42"/>
    </row>
    <row r="1131" spans="14:15" x14ac:dyDescent="0.15">
      <c r="N1131" s="42"/>
      <c r="O1131" s="42"/>
    </row>
    <row r="1132" spans="14:15" x14ac:dyDescent="0.15">
      <c r="N1132" s="42"/>
      <c r="O1132" s="42"/>
    </row>
    <row r="1133" spans="14:15" x14ac:dyDescent="0.15">
      <c r="N1133" s="42"/>
      <c r="O1133" s="42"/>
    </row>
    <row r="1134" spans="14:15" x14ac:dyDescent="0.15">
      <c r="N1134" s="42"/>
      <c r="O1134" s="42"/>
    </row>
    <row r="1135" spans="14:15" x14ac:dyDescent="0.15">
      <c r="N1135" s="42"/>
      <c r="O1135" s="42"/>
    </row>
    <row r="1136" spans="14:15" x14ac:dyDescent="0.15">
      <c r="N1136" s="42"/>
      <c r="O1136" s="42"/>
    </row>
    <row r="1137" spans="14:15" x14ac:dyDescent="0.15">
      <c r="N1137" s="42"/>
      <c r="O1137" s="42"/>
    </row>
    <row r="1138" spans="14:15" x14ac:dyDescent="0.15">
      <c r="N1138" s="42"/>
      <c r="O1138" s="42"/>
    </row>
    <row r="1139" spans="14:15" x14ac:dyDescent="0.15">
      <c r="N1139" s="42"/>
      <c r="O1139" s="42"/>
    </row>
    <row r="1140" spans="14:15" x14ac:dyDescent="0.15">
      <c r="N1140" s="42"/>
      <c r="O1140" s="42"/>
    </row>
    <row r="1141" spans="14:15" x14ac:dyDescent="0.15">
      <c r="N1141" s="42"/>
      <c r="O1141" s="42"/>
    </row>
    <row r="1142" spans="14:15" x14ac:dyDescent="0.15">
      <c r="N1142" s="42"/>
      <c r="O1142" s="42"/>
    </row>
    <row r="1143" spans="14:15" x14ac:dyDescent="0.15">
      <c r="N1143" s="42"/>
      <c r="O1143" s="42"/>
    </row>
    <row r="1144" spans="14:15" x14ac:dyDescent="0.15">
      <c r="N1144" s="42"/>
      <c r="O1144" s="42"/>
    </row>
    <row r="1145" spans="14:15" x14ac:dyDescent="0.15">
      <c r="N1145" s="42"/>
      <c r="O1145" s="42"/>
    </row>
    <row r="1146" spans="14:15" x14ac:dyDescent="0.15">
      <c r="N1146" s="42"/>
      <c r="O1146" s="42"/>
    </row>
    <row r="1147" spans="14:15" x14ac:dyDescent="0.15">
      <c r="N1147" s="42"/>
      <c r="O1147" s="42"/>
    </row>
    <row r="1148" spans="14:15" x14ac:dyDescent="0.15">
      <c r="N1148" s="42"/>
      <c r="O1148" s="42"/>
    </row>
    <row r="1149" spans="14:15" x14ac:dyDescent="0.15">
      <c r="N1149" s="42"/>
      <c r="O1149" s="42"/>
    </row>
    <row r="1150" spans="14:15" x14ac:dyDescent="0.15">
      <c r="N1150" s="42"/>
      <c r="O1150" s="42"/>
    </row>
    <row r="1151" spans="14:15" x14ac:dyDescent="0.15">
      <c r="N1151" s="42"/>
      <c r="O1151" s="42"/>
    </row>
    <row r="1152" spans="14:15" x14ac:dyDescent="0.15">
      <c r="N1152" s="42"/>
      <c r="O1152" s="42"/>
    </row>
    <row r="1153" spans="14:15" x14ac:dyDescent="0.15">
      <c r="N1153" s="42"/>
      <c r="O1153" s="42"/>
    </row>
    <row r="1154" spans="14:15" x14ac:dyDescent="0.15">
      <c r="N1154" s="42"/>
      <c r="O1154" s="42"/>
    </row>
    <row r="1155" spans="14:15" x14ac:dyDescent="0.15">
      <c r="N1155" s="42"/>
      <c r="O1155" s="42"/>
    </row>
    <row r="1156" spans="14:15" x14ac:dyDescent="0.15">
      <c r="N1156" s="42"/>
      <c r="O1156" s="42"/>
    </row>
    <row r="1157" spans="14:15" x14ac:dyDescent="0.15">
      <c r="N1157" s="42"/>
      <c r="O1157" s="42"/>
    </row>
    <row r="1158" spans="14:15" x14ac:dyDescent="0.15">
      <c r="N1158" s="42"/>
      <c r="O1158" s="42"/>
    </row>
    <row r="1159" spans="14:15" x14ac:dyDescent="0.15">
      <c r="N1159" s="42"/>
      <c r="O1159" s="42"/>
    </row>
    <row r="1160" spans="14:15" x14ac:dyDescent="0.15">
      <c r="N1160" s="42"/>
      <c r="O1160" s="42"/>
    </row>
    <row r="1161" spans="14:15" x14ac:dyDescent="0.15">
      <c r="N1161" s="42"/>
      <c r="O1161" s="42"/>
    </row>
    <row r="1162" spans="14:15" x14ac:dyDescent="0.15">
      <c r="N1162" s="42"/>
      <c r="O1162" s="42"/>
    </row>
    <row r="1163" spans="14:15" x14ac:dyDescent="0.15">
      <c r="N1163" s="42"/>
      <c r="O1163" s="42"/>
    </row>
    <row r="1164" spans="14:15" x14ac:dyDescent="0.15">
      <c r="N1164" s="42"/>
      <c r="O1164" s="42"/>
    </row>
    <row r="1165" spans="14:15" x14ac:dyDescent="0.15">
      <c r="N1165" s="42"/>
      <c r="O1165" s="42"/>
    </row>
    <row r="1166" spans="14:15" x14ac:dyDescent="0.15">
      <c r="N1166" s="42"/>
      <c r="O1166" s="42"/>
    </row>
    <row r="1167" spans="14:15" x14ac:dyDescent="0.15">
      <c r="N1167" s="42"/>
      <c r="O1167" s="42"/>
    </row>
    <row r="1168" spans="14:15" x14ac:dyDescent="0.15">
      <c r="N1168" s="42"/>
      <c r="O1168" s="42"/>
    </row>
    <row r="1169" spans="14:15" x14ac:dyDescent="0.15">
      <c r="N1169" s="42"/>
      <c r="O1169" s="42"/>
    </row>
    <row r="1170" spans="14:15" x14ac:dyDescent="0.15">
      <c r="N1170" s="42"/>
      <c r="O1170" s="42"/>
    </row>
    <row r="1171" spans="14:15" x14ac:dyDescent="0.15">
      <c r="N1171" s="42"/>
      <c r="O1171" s="42"/>
    </row>
    <row r="1172" spans="14:15" x14ac:dyDescent="0.15">
      <c r="N1172" s="42"/>
      <c r="O1172" s="42"/>
    </row>
    <row r="1173" spans="14:15" x14ac:dyDescent="0.15">
      <c r="N1173" s="42"/>
      <c r="O1173" s="42"/>
    </row>
    <row r="1174" spans="14:15" x14ac:dyDescent="0.15">
      <c r="N1174" s="42"/>
      <c r="O1174" s="42"/>
    </row>
    <row r="1175" spans="14:15" x14ac:dyDescent="0.15">
      <c r="N1175" s="42"/>
      <c r="O1175" s="42"/>
    </row>
    <row r="1176" spans="14:15" x14ac:dyDescent="0.15">
      <c r="N1176" s="42"/>
      <c r="O1176" s="42"/>
    </row>
    <row r="1177" spans="14:15" x14ac:dyDescent="0.15">
      <c r="N1177" s="42"/>
      <c r="O1177" s="42"/>
    </row>
    <row r="1178" spans="14:15" x14ac:dyDescent="0.15">
      <c r="N1178" s="42"/>
      <c r="O1178" s="42"/>
    </row>
    <row r="1179" spans="14:15" x14ac:dyDescent="0.15">
      <c r="N1179" s="42"/>
      <c r="O1179" s="42"/>
    </row>
    <row r="1180" spans="14:15" x14ac:dyDescent="0.15">
      <c r="N1180" s="42"/>
      <c r="O1180" s="42"/>
    </row>
    <row r="1181" spans="14:15" x14ac:dyDescent="0.15">
      <c r="N1181" s="42"/>
      <c r="O1181" s="42"/>
    </row>
    <row r="1182" spans="14:15" x14ac:dyDescent="0.15">
      <c r="N1182" s="42"/>
      <c r="O1182" s="42"/>
    </row>
    <row r="1183" spans="14:15" x14ac:dyDescent="0.15">
      <c r="N1183" s="42"/>
      <c r="O1183" s="42"/>
    </row>
    <row r="1184" spans="14:15" x14ac:dyDescent="0.15">
      <c r="N1184" s="42"/>
      <c r="O1184" s="42"/>
    </row>
    <row r="1185" spans="14:15" x14ac:dyDescent="0.15">
      <c r="N1185" s="42"/>
      <c r="O1185" s="42"/>
    </row>
    <row r="1186" spans="14:15" x14ac:dyDescent="0.15">
      <c r="N1186" s="42"/>
      <c r="O1186" s="42"/>
    </row>
    <row r="1187" spans="14:15" x14ac:dyDescent="0.15">
      <c r="N1187" s="42"/>
      <c r="O1187" s="42"/>
    </row>
    <row r="1188" spans="14:15" x14ac:dyDescent="0.15">
      <c r="N1188" s="42"/>
      <c r="O1188" s="42"/>
    </row>
    <row r="1189" spans="14:15" x14ac:dyDescent="0.15">
      <c r="N1189" s="42"/>
      <c r="O1189" s="42"/>
    </row>
    <row r="1190" spans="14:15" x14ac:dyDescent="0.15">
      <c r="N1190" s="42"/>
      <c r="O1190" s="42"/>
    </row>
    <row r="1191" spans="14:15" x14ac:dyDescent="0.15">
      <c r="N1191" s="42"/>
      <c r="O1191" s="42"/>
    </row>
    <row r="1192" spans="14:15" x14ac:dyDescent="0.15">
      <c r="N1192" s="42"/>
      <c r="O1192" s="42"/>
    </row>
    <row r="1193" spans="14:15" x14ac:dyDescent="0.15">
      <c r="N1193" s="42"/>
      <c r="O1193" s="42"/>
    </row>
    <row r="1194" spans="14:15" x14ac:dyDescent="0.15">
      <c r="N1194" s="42"/>
      <c r="O1194" s="42"/>
    </row>
    <row r="1195" spans="14:15" x14ac:dyDescent="0.15">
      <c r="N1195" s="42"/>
      <c r="O1195" s="42"/>
    </row>
    <row r="1196" spans="14:15" x14ac:dyDescent="0.15">
      <c r="N1196" s="42"/>
      <c r="O1196" s="42"/>
    </row>
    <row r="1197" spans="14:15" x14ac:dyDescent="0.15">
      <c r="N1197" s="42"/>
      <c r="O1197" s="42"/>
    </row>
    <row r="1198" spans="14:15" x14ac:dyDescent="0.15">
      <c r="N1198" s="42"/>
      <c r="O1198" s="42"/>
    </row>
    <row r="1199" spans="14:15" x14ac:dyDescent="0.15">
      <c r="N1199" s="42"/>
      <c r="O1199" s="42"/>
    </row>
    <row r="1200" spans="14:15" x14ac:dyDescent="0.15">
      <c r="N1200" s="42"/>
      <c r="O1200" s="42"/>
    </row>
    <row r="1201" spans="14:15" x14ac:dyDescent="0.15">
      <c r="N1201" s="42"/>
      <c r="O1201" s="42"/>
    </row>
    <row r="1202" spans="14:15" x14ac:dyDescent="0.15">
      <c r="N1202" s="42"/>
      <c r="O1202" s="42"/>
    </row>
    <row r="1203" spans="14:15" x14ac:dyDescent="0.15">
      <c r="N1203" s="42"/>
      <c r="O1203" s="42"/>
    </row>
    <row r="1204" spans="14:15" x14ac:dyDescent="0.15">
      <c r="N1204" s="42"/>
      <c r="O1204" s="42"/>
    </row>
    <row r="1205" spans="14:15" x14ac:dyDescent="0.15">
      <c r="N1205" s="42"/>
      <c r="O1205" s="42"/>
    </row>
    <row r="1206" spans="14:15" x14ac:dyDescent="0.15">
      <c r="N1206" s="42"/>
      <c r="O1206" s="42"/>
    </row>
    <row r="1207" spans="14:15" x14ac:dyDescent="0.15">
      <c r="N1207" s="42"/>
      <c r="O1207" s="42"/>
    </row>
    <row r="1208" spans="14:15" x14ac:dyDescent="0.15">
      <c r="N1208" s="42"/>
      <c r="O1208" s="42"/>
    </row>
    <row r="1209" spans="14:15" x14ac:dyDescent="0.15">
      <c r="N1209" s="42"/>
      <c r="O1209" s="42"/>
    </row>
    <row r="1210" spans="14:15" x14ac:dyDescent="0.15">
      <c r="N1210" s="42"/>
      <c r="O1210" s="42"/>
    </row>
    <row r="1211" spans="14:15" x14ac:dyDescent="0.15">
      <c r="N1211" s="42"/>
      <c r="O1211" s="42"/>
    </row>
    <row r="1212" spans="14:15" x14ac:dyDescent="0.15">
      <c r="N1212" s="42"/>
      <c r="O1212" s="42"/>
    </row>
    <row r="1213" spans="14:15" x14ac:dyDescent="0.15">
      <c r="N1213" s="42"/>
      <c r="O1213" s="42"/>
    </row>
    <row r="1214" spans="14:15" x14ac:dyDescent="0.15">
      <c r="N1214" s="42"/>
      <c r="O1214" s="42"/>
    </row>
    <row r="1215" spans="14:15" x14ac:dyDescent="0.15">
      <c r="N1215" s="42"/>
      <c r="O1215" s="42"/>
    </row>
    <row r="1216" spans="14:15" x14ac:dyDescent="0.15">
      <c r="N1216" s="42"/>
      <c r="O1216" s="42"/>
    </row>
    <row r="1217" spans="14:15" x14ac:dyDescent="0.15">
      <c r="N1217" s="42"/>
      <c r="O1217" s="42"/>
    </row>
    <row r="1218" spans="14:15" x14ac:dyDescent="0.15">
      <c r="N1218" s="42"/>
      <c r="O1218" s="42"/>
    </row>
    <row r="1219" spans="14:15" x14ac:dyDescent="0.15">
      <c r="N1219" s="42"/>
      <c r="O1219" s="42"/>
    </row>
    <row r="1220" spans="14:15" x14ac:dyDescent="0.15">
      <c r="N1220" s="42"/>
      <c r="O1220" s="42"/>
    </row>
    <row r="1221" spans="14:15" x14ac:dyDescent="0.15">
      <c r="N1221" s="42"/>
      <c r="O1221" s="42"/>
    </row>
    <row r="1222" spans="14:15" x14ac:dyDescent="0.15">
      <c r="N1222" s="42"/>
      <c r="O1222" s="42"/>
    </row>
    <row r="1223" spans="14:15" x14ac:dyDescent="0.15">
      <c r="N1223" s="42"/>
      <c r="O1223" s="42"/>
    </row>
    <row r="1224" spans="14:15" x14ac:dyDescent="0.15">
      <c r="N1224" s="42"/>
      <c r="O1224" s="42"/>
    </row>
    <row r="1225" spans="14:15" x14ac:dyDescent="0.15">
      <c r="N1225" s="42"/>
      <c r="O1225" s="42"/>
    </row>
    <row r="1226" spans="14:15" x14ac:dyDescent="0.15">
      <c r="N1226" s="42"/>
      <c r="O1226" s="42"/>
    </row>
    <row r="1227" spans="14:15" x14ac:dyDescent="0.15">
      <c r="N1227" s="42"/>
      <c r="O1227" s="42"/>
    </row>
    <row r="1228" spans="14:15" x14ac:dyDescent="0.15">
      <c r="N1228" s="42"/>
      <c r="O1228" s="42"/>
    </row>
    <row r="1229" spans="14:15" x14ac:dyDescent="0.15">
      <c r="N1229" s="42"/>
      <c r="O1229" s="42"/>
    </row>
    <row r="1230" spans="14:15" x14ac:dyDescent="0.15">
      <c r="N1230" s="42"/>
      <c r="O1230" s="42"/>
    </row>
    <row r="1231" spans="14:15" x14ac:dyDescent="0.15">
      <c r="N1231" s="42"/>
      <c r="O1231" s="42"/>
    </row>
    <row r="1232" spans="14:15" x14ac:dyDescent="0.15">
      <c r="N1232" s="42"/>
      <c r="O1232" s="42"/>
    </row>
    <row r="1233" spans="14:15" x14ac:dyDescent="0.15">
      <c r="N1233" s="42"/>
      <c r="O1233" s="42"/>
    </row>
    <row r="1234" spans="14:15" x14ac:dyDescent="0.15">
      <c r="N1234" s="42"/>
      <c r="O1234" s="42"/>
    </row>
    <row r="1235" spans="14:15" x14ac:dyDescent="0.15">
      <c r="N1235" s="42"/>
      <c r="O1235" s="42"/>
    </row>
    <row r="1236" spans="14:15" x14ac:dyDescent="0.15">
      <c r="N1236" s="42"/>
      <c r="O1236" s="42"/>
    </row>
    <row r="1237" spans="14:15" x14ac:dyDescent="0.15">
      <c r="N1237" s="42"/>
      <c r="O1237" s="42"/>
    </row>
    <row r="1238" spans="14:15" x14ac:dyDescent="0.15">
      <c r="N1238" s="42"/>
      <c r="O1238" s="42"/>
    </row>
    <row r="1239" spans="14:15" x14ac:dyDescent="0.15">
      <c r="N1239" s="42"/>
      <c r="O1239" s="42"/>
    </row>
    <row r="1240" spans="14:15" x14ac:dyDescent="0.15">
      <c r="N1240" s="42"/>
      <c r="O1240" s="42"/>
    </row>
    <row r="1241" spans="14:15" x14ac:dyDescent="0.15">
      <c r="N1241" s="42"/>
      <c r="O1241" s="42"/>
    </row>
    <row r="1242" spans="14:15" x14ac:dyDescent="0.15">
      <c r="N1242" s="42"/>
      <c r="O1242" s="42"/>
    </row>
    <row r="1243" spans="14:15" x14ac:dyDescent="0.15">
      <c r="N1243" s="42"/>
      <c r="O1243" s="42"/>
    </row>
    <row r="1244" spans="14:15" x14ac:dyDescent="0.15">
      <c r="N1244" s="42"/>
      <c r="O1244" s="42"/>
    </row>
    <row r="1245" spans="14:15" x14ac:dyDescent="0.15">
      <c r="N1245" s="42"/>
      <c r="O1245" s="42"/>
    </row>
    <row r="1246" spans="14:15" x14ac:dyDescent="0.15">
      <c r="N1246" s="42"/>
      <c r="O1246" s="42"/>
    </row>
    <row r="1247" spans="14:15" x14ac:dyDescent="0.15">
      <c r="N1247" s="42"/>
      <c r="O1247" s="42"/>
    </row>
    <row r="1248" spans="14:15" x14ac:dyDescent="0.15">
      <c r="N1248" s="42"/>
      <c r="O1248" s="42"/>
    </row>
    <row r="1249" spans="14:15" x14ac:dyDescent="0.15">
      <c r="N1249" s="42"/>
      <c r="O1249" s="42"/>
    </row>
    <row r="1250" spans="14:15" x14ac:dyDescent="0.15">
      <c r="N1250" s="42"/>
      <c r="O1250" s="42"/>
    </row>
    <row r="1251" spans="14:15" x14ac:dyDescent="0.15">
      <c r="N1251" s="42"/>
      <c r="O1251" s="42"/>
    </row>
    <row r="1252" spans="14:15" x14ac:dyDescent="0.15">
      <c r="N1252" s="42"/>
      <c r="O1252" s="42"/>
    </row>
    <row r="1253" spans="14:15" x14ac:dyDescent="0.15">
      <c r="N1253" s="42"/>
      <c r="O1253" s="42"/>
    </row>
    <row r="1254" spans="14:15" x14ac:dyDescent="0.15">
      <c r="N1254" s="42"/>
      <c r="O1254" s="42"/>
    </row>
    <row r="1255" spans="14:15" x14ac:dyDescent="0.15">
      <c r="N1255" s="42"/>
      <c r="O1255" s="42"/>
    </row>
    <row r="1256" spans="14:15" x14ac:dyDescent="0.15">
      <c r="N1256" s="42"/>
      <c r="O1256" s="42"/>
    </row>
    <row r="1257" spans="14:15" x14ac:dyDescent="0.15">
      <c r="N1257" s="42"/>
      <c r="O1257" s="42"/>
    </row>
    <row r="1258" spans="14:15" x14ac:dyDescent="0.15">
      <c r="N1258" s="42"/>
      <c r="O1258" s="42"/>
    </row>
    <row r="1259" spans="14:15" x14ac:dyDescent="0.15">
      <c r="N1259" s="42"/>
      <c r="O1259" s="42"/>
    </row>
    <row r="1260" spans="14:15" x14ac:dyDescent="0.15">
      <c r="N1260" s="42"/>
      <c r="O1260" s="42"/>
    </row>
    <row r="1261" spans="14:15" x14ac:dyDescent="0.15">
      <c r="N1261" s="42"/>
      <c r="O1261" s="42"/>
    </row>
    <row r="1262" spans="14:15" x14ac:dyDescent="0.15">
      <c r="N1262" s="42"/>
      <c r="O1262" s="42"/>
    </row>
    <row r="1263" spans="14:15" x14ac:dyDescent="0.15">
      <c r="N1263" s="42"/>
      <c r="O1263" s="42"/>
    </row>
    <row r="1264" spans="14:15" x14ac:dyDescent="0.15">
      <c r="N1264" s="42"/>
      <c r="O1264" s="42"/>
    </row>
    <row r="1265" spans="14:15" x14ac:dyDescent="0.15">
      <c r="N1265" s="42"/>
      <c r="O1265" s="42"/>
    </row>
    <row r="1266" spans="14:15" x14ac:dyDescent="0.15">
      <c r="N1266" s="42"/>
      <c r="O1266" s="42"/>
    </row>
    <row r="1267" spans="14:15" x14ac:dyDescent="0.15">
      <c r="N1267" s="42"/>
      <c r="O1267" s="42"/>
    </row>
    <row r="1268" spans="14:15" x14ac:dyDescent="0.15">
      <c r="N1268" s="42"/>
      <c r="O1268" s="42"/>
    </row>
    <row r="1269" spans="14:15" x14ac:dyDescent="0.15">
      <c r="N1269" s="42"/>
      <c r="O1269" s="42"/>
    </row>
    <row r="1270" spans="14:15" x14ac:dyDescent="0.15">
      <c r="N1270" s="42"/>
      <c r="O1270" s="42"/>
    </row>
    <row r="1271" spans="14:15" x14ac:dyDescent="0.15">
      <c r="N1271" s="42"/>
      <c r="O1271" s="42"/>
    </row>
    <row r="1272" spans="14:15" x14ac:dyDescent="0.15">
      <c r="N1272" s="42"/>
      <c r="O1272" s="42"/>
    </row>
    <row r="1273" spans="14:15" x14ac:dyDescent="0.15">
      <c r="N1273" s="42"/>
      <c r="O1273" s="42"/>
    </row>
    <row r="1274" spans="14:15" x14ac:dyDescent="0.15">
      <c r="N1274" s="42"/>
      <c r="O1274" s="42"/>
    </row>
    <row r="1275" spans="14:15" x14ac:dyDescent="0.15">
      <c r="N1275" s="42"/>
      <c r="O1275" s="42"/>
    </row>
    <row r="1276" spans="14:15" x14ac:dyDescent="0.15">
      <c r="N1276" s="42"/>
      <c r="O1276" s="42"/>
    </row>
    <row r="1277" spans="14:15" x14ac:dyDescent="0.15">
      <c r="N1277" s="42"/>
      <c r="O1277" s="42"/>
    </row>
    <row r="1278" spans="14:15" x14ac:dyDescent="0.15">
      <c r="N1278" s="42"/>
      <c r="O1278" s="42"/>
    </row>
    <row r="1279" spans="14:15" x14ac:dyDescent="0.15">
      <c r="N1279" s="42"/>
      <c r="O1279" s="42"/>
    </row>
    <row r="1280" spans="14:15" x14ac:dyDescent="0.15">
      <c r="N1280" s="42"/>
      <c r="O1280" s="42"/>
    </row>
    <row r="1281" spans="14:15" x14ac:dyDescent="0.15">
      <c r="N1281" s="42"/>
      <c r="O1281" s="42"/>
    </row>
    <row r="1282" spans="14:15" x14ac:dyDescent="0.15">
      <c r="N1282" s="42"/>
      <c r="O1282" s="42"/>
    </row>
    <row r="1283" spans="14:15" x14ac:dyDescent="0.15">
      <c r="N1283" s="42"/>
      <c r="O1283" s="42"/>
    </row>
    <row r="1284" spans="14:15" x14ac:dyDescent="0.15">
      <c r="N1284" s="42"/>
      <c r="O1284" s="42"/>
    </row>
    <row r="1285" spans="14:15" x14ac:dyDescent="0.15">
      <c r="N1285" s="42"/>
      <c r="O1285" s="42"/>
    </row>
    <row r="1286" spans="14:15" x14ac:dyDescent="0.15">
      <c r="N1286" s="42"/>
      <c r="O1286" s="42"/>
    </row>
    <row r="1287" spans="14:15" x14ac:dyDescent="0.15">
      <c r="N1287" s="42"/>
      <c r="O1287" s="42"/>
    </row>
    <row r="1288" spans="14:15" x14ac:dyDescent="0.15">
      <c r="N1288" s="42"/>
      <c r="O1288" s="42"/>
    </row>
    <row r="1289" spans="14:15" x14ac:dyDescent="0.15">
      <c r="N1289" s="42"/>
      <c r="O1289" s="42"/>
    </row>
    <row r="1290" spans="14:15" x14ac:dyDescent="0.15">
      <c r="N1290" s="42"/>
      <c r="O1290" s="42"/>
    </row>
    <row r="1291" spans="14:15" x14ac:dyDescent="0.15">
      <c r="N1291" s="42"/>
      <c r="O1291" s="42"/>
    </row>
    <row r="1292" spans="14:15" x14ac:dyDescent="0.15">
      <c r="N1292" s="42"/>
      <c r="O1292" s="42"/>
    </row>
    <row r="1293" spans="14:15" x14ac:dyDescent="0.15">
      <c r="N1293" s="42"/>
      <c r="O1293" s="42"/>
    </row>
    <row r="1294" spans="14:15" x14ac:dyDescent="0.15">
      <c r="N1294" s="42"/>
      <c r="O1294" s="42"/>
    </row>
    <row r="1295" spans="14:15" x14ac:dyDescent="0.15">
      <c r="N1295" s="42"/>
      <c r="O1295" s="42"/>
    </row>
    <row r="1296" spans="14:15" x14ac:dyDescent="0.15">
      <c r="N1296" s="42"/>
      <c r="O1296" s="42"/>
    </row>
    <row r="1297" spans="14:15" x14ac:dyDescent="0.15">
      <c r="N1297" s="42"/>
      <c r="O1297" s="42"/>
    </row>
    <row r="1298" spans="14:15" x14ac:dyDescent="0.15">
      <c r="N1298" s="42"/>
      <c r="O1298" s="42"/>
    </row>
    <row r="1299" spans="14:15" x14ac:dyDescent="0.15">
      <c r="N1299" s="42"/>
      <c r="O1299" s="42"/>
    </row>
    <row r="1300" spans="14:15" x14ac:dyDescent="0.15">
      <c r="N1300" s="42"/>
      <c r="O1300" s="42"/>
    </row>
    <row r="1301" spans="14:15" x14ac:dyDescent="0.15">
      <c r="N1301" s="42"/>
      <c r="O1301" s="42"/>
    </row>
    <row r="1302" spans="14:15" x14ac:dyDescent="0.15">
      <c r="N1302" s="42"/>
      <c r="O1302" s="42"/>
    </row>
    <row r="1303" spans="14:15" x14ac:dyDescent="0.15">
      <c r="N1303" s="42"/>
      <c r="O1303" s="42"/>
    </row>
    <row r="1304" spans="14:15" x14ac:dyDescent="0.15">
      <c r="N1304" s="42"/>
      <c r="O1304" s="42"/>
    </row>
    <row r="1305" spans="14:15" x14ac:dyDescent="0.15">
      <c r="N1305" s="42"/>
      <c r="O1305" s="42"/>
    </row>
    <row r="1306" spans="14:15" x14ac:dyDescent="0.15">
      <c r="N1306" s="42"/>
      <c r="O1306" s="42"/>
    </row>
    <row r="1307" spans="14:15" x14ac:dyDescent="0.15">
      <c r="N1307" s="42"/>
      <c r="O1307" s="42"/>
    </row>
    <row r="1308" spans="14:15" x14ac:dyDescent="0.15">
      <c r="N1308" s="42"/>
      <c r="O1308" s="42"/>
    </row>
    <row r="1309" spans="14:15" x14ac:dyDescent="0.15">
      <c r="N1309" s="42"/>
      <c r="O1309" s="42"/>
    </row>
    <row r="1310" spans="14:15" x14ac:dyDescent="0.15">
      <c r="N1310" s="42"/>
      <c r="O1310" s="42"/>
    </row>
    <row r="1311" spans="14:15" x14ac:dyDescent="0.15">
      <c r="N1311" s="42"/>
      <c r="O1311" s="42"/>
    </row>
    <row r="1312" spans="14:15" x14ac:dyDescent="0.15">
      <c r="N1312" s="42"/>
      <c r="O1312" s="42"/>
    </row>
    <row r="1313" spans="14:15" x14ac:dyDescent="0.15">
      <c r="N1313" s="42"/>
      <c r="O1313" s="42"/>
    </row>
    <row r="1314" spans="14:15" x14ac:dyDescent="0.15">
      <c r="N1314" s="42"/>
      <c r="O1314" s="42"/>
    </row>
    <row r="1315" spans="14:15" x14ac:dyDescent="0.15">
      <c r="N1315" s="42"/>
      <c r="O1315" s="42"/>
    </row>
    <row r="1316" spans="14:15" x14ac:dyDescent="0.15">
      <c r="N1316" s="42"/>
      <c r="O1316" s="42"/>
    </row>
    <row r="1317" spans="14:15" x14ac:dyDescent="0.15">
      <c r="N1317" s="42"/>
      <c r="O1317" s="42"/>
    </row>
    <row r="1318" spans="14:15" x14ac:dyDescent="0.15">
      <c r="N1318" s="42"/>
      <c r="O1318" s="42"/>
    </row>
    <row r="1319" spans="14:15" x14ac:dyDescent="0.15">
      <c r="N1319" s="42"/>
      <c r="O1319" s="42"/>
    </row>
    <row r="1320" spans="14:15" x14ac:dyDescent="0.15">
      <c r="N1320" s="42"/>
      <c r="O1320" s="42"/>
    </row>
    <row r="1321" spans="14:15" x14ac:dyDescent="0.15">
      <c r="N1321" s="42"/>
      <c r="O1321" s="42"/>
    </row>
  </sheetData>
  <sheetProtection sheet="1" objects="1" scenarios="1"/>
  <mergeCells count="21">
    <mergeCell ref="C3:D3"/>
    <mergeCell ref="D7:F7"/>
    <mergeCell ref="O8:O9"/>
    <mergeCell ref="H8:H9"/>
    <mergeCell ref="I8:I9"/>
    <mergeCell ref="D8:D9"/>
    <mergeCell ref="I3:K3"/>
    <mergeCell ref="L3:N3"/>
    <mergeCell ref="O3:Q3"/>
    <mergeCell ref="C4:D4"/>
    <mergeCell ref="B8:C9"/>
    <mergeCell ref="Q8:Q9"/>
    <mergeCell ref="E8:E9"/>
    <mergeCell ref="G8:G9"/>
    <mergeCell ref="F8:F9"/>
    <mergeCell ref="P8:P9"/>
    <mergeCell ref="J8:J9"/>
    <mergeCell ref="K8:K9"/>
    <mergeCell ref="L8:L9"/>
    <mergeCell ref="M8:M9"/>
    <mergeCell ref="N8:N9"/>
  </mergeCells>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メニューＭＡＰ＆操作手順</vt:lpstr>
      <vt:lpstr>1-1.従業員データ給与改定案入力画面</vt:lpstr>
      <vt:lpstr>2-2.保険料・地方税等入力画面</vt:lpstr>
      <vt:lpstr>４-0.設定 仕様概要</vt:lpstr>
      <vt:lpstr>4-1.労働時間延長メニューメイン-1</vt:lpstr>
      <vt:lpstr>4-2.労働時間延長メニューお知らせ</vt:lpstr>
      <vt:lpstr>3-1.標準報酬月額・保険料表</vt:lpstr>
      <vt:lpstr>3-2.所得算出参照表</vt:lpstr>
      <vt:lpstr>3-3.国民健康保険料簡易計算</vt:lpstr>
      <vt:lpstr>５.使用上の注意</vt:lpstr>
      <vt:lpstr>'1-1.従業員データ給与改定案入力画面'!Print_Area</vt:lpstr>
      <vt:lpstr>'2-2.保険料・地方税等入力画面'!Print_Area</vt:lpstr>
      <vt:lpstr>'4-1.労働時間延長メニューメイン-1'!Print_Area</vt:lpstr>
      <vt:lpstr>'4-2.労働時間延長メニューお知らせ'!Print_Area</vt:lpstr>
      <vt:lpstr>'５.使用上の注意'!Print_Area</vt:lpstr>
      <vt:lpstr>'メニューＭＡＰ＆操作手順'!Print_Area</vt:lpstr>
      <vt:lpstr>'1-1.従業員データ給与改定案入力画面'!Print_Titles</vt:lpstr>
      <vt:lpstr>'4-1.労働時間延長メニューメイン-1'!Print_Titles</vt:lpstr>
      <vt:lpstr>'4-2.労働時間延長メニューお知らせ'!Print_Titles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横井人事労務サポート事務所</dc:creator>
  <cp:lastModifiedBy>AKINORI YOKOI</cp:lastModifiedBy>
  <cp:lastPrinted>2023-12-28T05:01:55Z</cp:lastPrinted>
  <dcterms:created xsi:type="dcterms:W3CDTF">2004-10-19T09:01:56Z</dcterms:created>
  <dcterms:modified xsi:type="dcterms:W3CDTF">2024-01-09T01:37:35Z</dcterms:modified>
</cp:coreProperties>
</file>